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0260" tabRatio="842" activeTab="4"/>
  </bookViews>
  <sheets>
    <sheet name="Version" sheetId="1" r:id="rId1"/>
    <sheet name="Mode emploi" sheetId="2" r:id="rId2"/>
    <sheet name="Saisie " sheetId="3" r:id="rId3"/>
    <sheet name="Calcul" sheetId="4" r:id="rId4"/>
    <sheet name="Caractéristiques atelier " sheetId="5" r:id="rId5"/>
    <sheet name="Transformation &amp; Commercialisat" sheetId="6" r:id="rId6"/>
    <sheet name="Edition 1" sheetId="7" r:id="rId7"/>
    <sheet name="Edition 2" sheetId="8" r:id="rId8"/>
    <sheet name="Simulation" sheetId="9" r:id="rId9"/>
    <sheet name="Cuisine" sheetId="10" state="hidden" r:id="rId10"/>
    <sheet name="Stockage brut" sheetId="11" r:id="rId11"/>
    <sheet name="Capitalisation" sheetId="12" r:id="rId12"/>
    <sheet name="Référentiel" sheetId="13" r:id="rId13"/>
    <sheet name="Clés" sheetId="14" state="hidden" r:id="rId14"/>
    <sheet name="Regroupements" sheetId="15" r:id="rId15"/>
    <sheet name="Notes méthodo" sheetId="16" r:id="rId16"/>
    <sheet name="Paramètres" sheetId="17" state="hidden" r:id="rId17"/>
    <sheet name="Plan comptable" sheetId="18" r:id="rId18"/>
  </sheets>
  <externalReferences>
    <externalReference r:id="rId21"/>
  </externalReferences>
  <definedNames>
    <definedName name="ACAH">'Saisie '!$C$57</definedName>
    <definedName name="ACCAP">'Saisie '!$C$56</definedName>
    <definedName name="ACCINTCAP">'Saisie '!$C$109</definedName>
    <definedName name="ACF">'Saisie '!$C$54</definedName>
    <definedName name="ACFOU">'Saisie '!$C$69</definedName>
    <definedName name="ACFOUCAP">'Saisie '!$C$70</definedName>
    <definedName name="ACV">'Saisie '!$C$55</definedName>
    <definedName name="ACVEG">'Saisie '!$C$77</definedName>
    <definedName name="ACVEGCF">'Saisie '!$C$79</definedName>
    <definedName name="ACVEGH">'Saisie '!$C$79</definedName>
    <definedName name="ACVEGSH">'Saisie '!$C$78</definedName>
    <definedName name="ADPU">'Saisie '!$C$58</definedName>
    <definedName name="AIDANI">'Saisie '!$C$61</definedName>
    <definedName name="AIDCAP">'Saisie '!$C$60</definedName>
    <definedName name="AIDCV">'Saisie '!$C$62</definedName>
    <definedName name="AIDEX">'Saisie '!$C$64</definedName>
    <definedName name="AIDNONA">'Saisie '!$C$63</definedName>
    <definedName name="AMORTAMEF">'Saisie '!$C$114</definedName>
    <definedName name="AMORTBAT">'Saisie '!$C$100</definedName>
    <definedName name="AMORTMAT">'Saisie '!$C$99</definedName>
    <definedName name="ANICAP">'Saisie '!$C$41</definedName>
    <definedName name="BLsys">'Saisie '!$C$10</definedName>
    <definedName name="BRUT">'Cuisine'!$B$79</definedName>
    <definedName name="BVsys">'Saisie '!$C$11</definedName>
    <definedName name="CAMP">'Saisie '!$C$19</definedName>
    <definedName name="CAP">'Saisie '!$C$103</definedName>
    <definedName name="CAPsys">'Saisie '!$C$9</definedName>
    <definedName name="CARBU">'Saisie '!$C$89</definedName>
    <definedName name="CF">'Saisie '!$C$34</definedName>
    <definedName name="CFCAP">'Saisie '!$C$35</definedName>
    <definedName name="CHARGEX">'Saisie '!$C$116</definedName>
    <definedName name="Cle_BL">'Clés'!$A$12:$I$17</definedName>
    <definedName name="Cle_BV">'Clés'!$A$18:$I$25</definedName>
    <definedName name="Cle_CL">'Clés'!$A$34:$I$36</definedName>
    <definedName name="Cle_CP">'Clés'!$A$47:$I$47</definedName>
    <definedName name="Cle_CS">'Clés'!$A$48:$I$48</definedName>
    <definedName name="Cle_Eq">'Clés'!$A$38:$I$39</definedName>
    <definedName name="Cle_GCU">'Clés'!$A$41:$I$42</definedName>
    <definedName name="Cle_MF">'Clés'!$A$44:$I$45</definedName>
    <definedName name="Cle_OL">'Clés'!$A$31:$I$32</definedName>
    <definedName name="Cle_OV">'Clés'!$A$26:$I$30</definedName>
    <definedName name="Cle_SH">'Clés'!$A$46</definedName>
    <definedName name="CLsys">'[1]Saisie'!$C$13</definedName>
    <definedName name="CM">'Saisie '!$C$65</definedName>
    <definedName name="CMCAP">'Saisie '!$C$66</definedName>
    <definedName name="COCS">'Cuisine'!$C$47</definedName>
    <definedName name="CP">'Saisie '!$C$38</definedName>
    <definedName name="CS">'Saisie '!$C$39</definedName>
    <definedName name="CV">'Saisie '!$C$36</definedName>
    <definedName name="CVCAP">'Saisie '!$C$37</definedName>
    <definedName name="CVEN">'Calcul'!$B$80</definedName>
    <definedName name="CVOV">'[1]Saisie'!$C$39</definedName>
    <definedName name="DATEVER">'Paramètres'!$B$9</definedName>
    <definedName name="EAU">'Saisie '!$C$92</definedName>
    <definedName name="EBE">'Saisie '!$C$112</definedName>
    <definedName name="EDF">'Saisie '!$C$93</definedName>
    <definedName name="ENGA">'Saisie '!$C$71</definedName>
    <definedName name="ENGACF">'Saisie '!$C$73</definedName>
    <definedName name="ENGACINTCAP">'Saisie '!$C$107</definedName>
    <definedName name="ENGASH">'Saisie '!$C$72</definedName>
    <definedName name="ENTBAT">'Saisie '!$C$94</definedName>
    <definedName name="ENTMAT">'Saisie '!$C$90</definedName>
    <definedName name="EQ">'[1]Saisie'!$C$15</definedName>
    <definedName name="EQsys">'Saisie '!$C$14</definedName>
    <definedName name="Excel_BuiltIn_Print_Area" localSheetId="11">'Référentiel'!$A:$D</definedName>
    <definedName name="Excel_BuiltIn_Print_Area" localSheetId="13">'Regroupements'!$A$1:$I$51</definedName>
    <definedName name="Excel_BuiltIn_Print_Area" localSheetId="6">'Edition 2'!$A$1:$J$65</definedName>
    <definedName name="Excel_BuiltIn_Print_Area" localSheetId="7">'Simulation'!$A$1:$H$68</definedName>
    <definedName name="Excel_BuiltIn_Print_Area" localSheetId="16">'Plan comptable'!$A$1:$F$40</definedName>
    <definedName name="Excel_BuiltIn_Print_Area" localSheetId="17">#REF!</definedName>
    <definedName name="Excel_BuiltIn_Print_Area" localSheetId="12">'Clés'!$A$8:$P$74</definedName>
    <definedName name="Excel_BuiltIn_Print_Area" localSheetId="8">'Cuisine'!$E$1:$L$72</definedName>
    <definedName name="Excel_BuiltIn_Print_Titles" localSheetId="11">'Référentiel'!$1:$8</definedName>
    <definedName name="Excel_BuiltIn_Print_Titles" localSheetId="15">'Paramètres'!$1:$7</definedName>
    <definedName name="Excel_BuiltIn_Print_Titles" localSheetId="12">('Clés'!$A:$A,'Clés'!$1:$7)</definedName>
    <definedName name="Excel_BuiltIn_Print_Titles" localSheetId="14">'Notes méthodo'!$1:$8</definedName>
    <definedName name="EXP">'Saisie '!$C$17</definedName>
    <definedName name="FCOM">'Saisie '!$C$86</definedName>
    <definedName name="FCOMCAP">'Saisie '!$C$87</definedName>
    <definedName name="FELA">'Saisie '!$C$82</definedName>
    <definedName name="FELACAP">'Saisie '!$C$83</definedName>
    <definedName name="FELV">'Saisie '!$C$80</definedName>
    <definedName name="FELVCAP">'Saisie '!$C$81</definedName>
    <definedName name="FERM">'Saisie '!$C$96</definedName>
    <definedName name="FERMOP">'Saisie '!$C$101</definedName>
    <definedName name="FFIN">'Saisie '!$C$98</definedName>
    <definedName name="FORFMSA" localSheetId="7">'Stockage brut'!#REF!</definedName>
    <definedName name="FORFMSA">'Cuisine'!#REF!</definedName>
    <definedName name="FTRANS">'Saisie '!$C$84</definedName>
    <definedName name="FTRANSCAP">'Saisie '!$C$85</definedName>
    <definedName name="GCUsys">'Saisie '!$C$15</definedName>
    <definedName name="GEST">'Saisie '!$C$95</definedName>
    <definedName name="ICP">'Cuisine'!$B$77</definedName>
    <definedName name="IF">'Saisie '!$C$104</definedName>
    <definedName name="_xlnm.Print_Titles" localSheetId="3">'Calcul'!$1:$13</definedName>
    <definedName name="_xlnm.Print_Titles" localSheetId="11">'Capitalisation'!$1:$8</definedName>
    <definedName name="_xlnm.Print_Titles" localSheetId="1">'Mode emploi'!$1:$7</definedName>
    <definedName name="_xlnm.Print_Titles" localSheetId="15">'Notes méthodo'!$1:$7</definedName>
    <definedName name="_xlnm.Print_Titles" localSheetId="12">('Référentiel'!$A:$A,'Référentiel'!$1:$7)</definedName>
    <definedName name="_xlnm.Print_Titles" localSheetId="14">'Regroupements'!$1:$8</definedName>
    <definedName name="_xlnm.Print_Titles" localSheetId="2">'Saisie '!$1:$16</definedName>
    <definedName name="_xlnm.Print_Titles" localSheetId="0">'Version'!$1:$6</definedName>
    <definedName name="LCB">'Saisie '!$C$20</definedName>
    <definedName name="Liste_sys">'Cuisine'!$A$56:$A$56</definedName>
    <definedName name="MOREP">'Saisie '!$D$118</definedName>
    <definedName name="MSA">'Saisie '!$C$102</definedName>
    <definedName name="MSACAP">'Calcul'!$C$71</definedName>
    <definedName name="MSAKTYP" localSheetId="7">'Stockage brut'!#REF!</definedName>
    <definedName name="MSAparSMIC" localSheetId="7">'Stockage brut'!#REF!</definedName>
    <definedName name="Nom_du_cas_type">'Référentiel'!$A$5:$CC$74</definedName>
    <definedName name="NUMREF">'Cuisine'!$A$1:$A$13</definedName>
    <definedName name="OLsys">'Saisie '!$C$13</definedName>
    <definedName name="Ovsys">'Saisie '!$C$12</definedName>
    <definedName name="paraman">'Paramètres'!$C$10:$M$14</definedName>
    <definedName name="PAUMO">'Saisie '!$E$118</definedName>
    <definedName name="PAUT">'Saisie '!$C$53</definedName>
    <definedName name="PAUTCAP">'Saisie '!$C$42</definedName>
    <definedName name="PCP">'Saisie '!$C$50</definedName>
    <definedName name="PCS">'Saisie '!$C$51</definedName>
    <definedName name="PCV">'Saisie '!$C$49</definedName>
    <definedName name="PETIMAT">'Saisie '!$C$91</definedName>
    <definedName name="PEX">'Saisie '!$C$52</definedName>
    <definedName name="PFIN">'Saisie '!$C$115</definedName>
    <definedName name="PHAE">'Saisie '!$C$59</definedName>
    <definedName name="PLAFERM">'Cuisine'!$B$80</definedName>
    <definedName name="Plamont">'Cuisine'!$A$71:$A$72</definedName>
    <definedName name="PML">'Saisie '!$C$21</definedName>
    <definedName name="POUD">'Saisie '!$C$67</definedName>
    <definedName name="POUDCAP">'Saisie '!$C$68</definedName>
    <definedName name="PPEQAF">'Cuisine'!#REF!</definedName>
    <definedName name="PTBL">'Saisie '!$C$43</definedName>
    <definedName name="PTBV">'Saisie '!$C$44</definedName>
    <definedName name="PTEQ">'Saisie '!$C$47</definedName>
    <definedName name="PTOL">'Saisie '!$C$46</definedName>
    <definedName name="PTOV">'Saisie '!$C$45</definedName>
    <definedName name="PUMOAH">'Cuisine'!$C$87</definedName>
    <definedName name="PUMOCAP">'Cuisine'!$C$85</definedName>
    <definedName name="PUMOCP">'Cuisine'!$C$91</definedName>
    <definedName name="PUMOCS">'Cuisine'!$C$93</definedName>
    <definedName name="PUMOCV">'Cuisine'!$C$89</definedName>
    <definedName name="PUMOSAAH">'Cuisine'!$C$88</definedName>
    <definedName name="PUMOSACAP">'Cuisine'!$C$86</definedName>
    <definedName name="PUMOSACP">'Cuisine'!$C$92</definedName>
    <definedName name="PUMOSACS">'Cuisine'!$C$94</definedName>
    <definedName name="PUMOSACV">'Cuisine'!$C$90</definedName>
    <definedName name="PVCAP">'Saisie '!$C$40</definedName>
    <definedName name="PVSF">'Saisie '!$C$48</definedName>
    <definedName name="refdata">'Référentiel'!$B$5:$O$74</definedName>
    <definedName name="Référentiel">'Cuisine'!$A$2:$A$20</definedName>
    <definedName name="REMB">'Saisie '!$C$113</definedName>
    <definedName name="SAL">'Saisie '!$C$97</definedName>
    <definedName name="SAU">'Saisie '!$C$30</definedName>
    <definedName name="SEM">'Saisie '!$C$74</definedName>
    <definedName name="SEMCF">'Saisie '!$C$76</definedName>
    <definedName name="SEMCINTCAP">'Saisie '!$C$108</definedName>
    <definedName name="SEMSH">'Saisie '!$C$75</definedName>
    <definedName name="SH">'Saisie '!$C$32</definedName>
    <definedName name="SHCAP">'Saisie '!$C$33</definedName>
    <definedName name="SMIC">'Cuisine'!$C$48</definedName>
    <definedName name="SMICKT">'Cuisine'!$D$48</definedName>
    <definedName name="SMICNETAN">'Cuisine'!$B$78</definedName>
    <definedName name="SMICSIM">'Cuisine'!$E$48</definedName>
    <definedName name="SPRO">'Saisie '!$C$31</definedName>
    <definedName name="SPROP">'Saisie '!$C$101</definedName>
    <definedName name="SysBL">'Clés'!$A$12:$A$15</definedName>
    <definedName name="SysBV">'Clés'!$A$18:$A$24</definedName>
    <definedName name="SysCAP">'Clés'!$A$34:$A$36</definedName>
    <definedName name="SysEQ">'Clés'!$A$38:$A$39</definedName>
    <definedName name="SysOL">'Clés'!$A$31:$A$32</definedName>
    <definedName name="SysOV">'Clés'!$A$26:$A$29</definedName>
    <definedName name="tabCS">'Cuisine'!$C$77:$E$142</definedName>
    <definedName name="TPT">'Saisie '!$C$88</definedName>
    <definedName name="TPTACINTCAP">'Saisie '!$C$110</definedName>
    <definedName name="UGB">'Calcul'!$R$14</definedName>
    <definedName name="UGBBL">'Saisie '!$C$25</definedName>
    <definedName name="UGBBV">'Saisie '!$C$26</definedName>
    <definedName name="UGBCAP">'Saisie '!$C$24</definedName>
    <definedName name="UGBEQ">'Saisie '!$C$29</definedName>
    <definedName name="UGBOL">'Saisie '!$C$28</definedName>
    <definedName name="UGBOV">'Saisie '!$C$27</definedName>
    <definedName name="UMOAH">'Saisie '!$C$121</definedName>
    <definedName name="UMOCAP">'Saisie '!$C$119</definedName>
    <definedName name="UMOCP">'Saisie '!$C$125</definedName>
    <definedName name="UMOCS">'Saisie '!$C$127</definedName>
    <definedName name="UMOCV">'Saisie '!$C$123</definedName>
    <definedName name="UMOns">'Saisie '!$C$22</definedName>
    <definedName name="UMOnsTOTCAP">'Cuisine'!$C$42</definedName>
    <definedName name="UMOs">'Saisie '!$C$23</definedName>
    <definedName name="UMOSAAH">'Saisie '!$C$122</definedName>
    <definedName name="UMOSACAP">'Saisie '!$C$120</definedName>
    <definedName name="UMOSACP">'Saisie '!$C$126</definedName>
    <definedName name="UMOSACS">'Saisie '!$C$128</definedName>
    <definedName name="UMOSACV">'Saisie '!$C$124</definedName>
    <definedName name="UMOSalOV">'Cuisine'!#REF!</definedName>
    <definedName name="UMOSATOTCAP">'Cuisine'!$C$43</definedName>
    <definedName name="VALFERM">'Saisie '!$C$101</definedName>
    <definedName name="_xlnm.Print_Area" localSheetId="3">'Calcul'!$A$14:$F$83</definedName>
    <definedName name="_xlnm.Print_Area" localSheetId="13">'Clés'!$A$1:$I$51</definedName>
    <definedName name="_xlnm.Print_Area" localSheetId="6">'Edition 1'!$A$1:$J$65</definedName>
    <definedName name="_xlnm.Print_Area" localSheetId="7">'Edition 2'!$A$1:$H$68</definedName>
    <definedName name="_xlnm.Print_Area" localSheetId="16">'Paramètres'!$A$1:$F$40</definedName>
    <definedName name="_xlnm.Print_Area" localSheetId="17">'Plan comptable'!$A$1:$C$54</definedName>
    <definedName name="_xlnm.Print_Area" localSheetId="12">'Référentiel'!$A$8:$P$74</definedName>
    <definedName name="_xlnm.Print_Area" localSheetId="2">'Saisie '!$A$8:$E$124</definedName>
    <definedName name="_xlnm.Print_Area" localSheetId="8">'Simulation'!$E$1:$L$72</definedName>
  </definedNames>
  <calcPr fullCalcOnLoad="1"/>
</workbook>
</file>

<file path=xl/sharedStrings.xml><?xml version="1.0" encoding="utf-8"?>
<sst xmlns="http://schemas.openxmlformats.org/spreadsheetml/2006/main" count="2716" uniqueCount="1268">
  <si>
    <t>Cette feuille récapitule les changements intervenus dans l'outil au fil des versions successives. Pensez à vous y reporter quand vous recevez une nouvelle version.</t>
  </si>
  <si>
    <t>Version</t>
  </si>
  <si>
    <t>Date</t>
  </si>
  <si>
    <t>liste des modifications</t>
  </si>
  <si>
    <t>Première version diffusée pour test</t>
  </si>
  <si>
    <t>Corrections bugs sur cultures pérennes et cultures spéciales</t>
  </si>
  <si>
    <t>1.1</t>
  </si>
  <si>
    <t>Corrections bugs sur prise en compte MO salariée quand personnalisation de la MO</t>
  </si>
  <si>
    <t>Corrections bugs sur répartition appros surfaces et libellés comptes</t>
  </si>
  <si>
    <t>Corrections bug achat fourrages</t>
  </si>
  <si>
    <t>Harmonisation des versions et mise à jour référentiel</t>
  </si>
  <si>
    <t>Correction bug calcul SMIC</t>
  </si>
  <si>
    <t xml:space="preserve"> mise à jour référentiel national </t>
  </si>
  <si>
    <t>mise à jour référentiel et correction bug/Open Office</t>
  </si>
  <si>
    <t>Correction bug concernant les aides</t>
  </si>
  <si>
    <t>Ajout feuille caractéristique atelier</t>
  </si>
  <si>
    <t>Corrections bug répartition ventes fourrages et autres produits / Onglet simulation, réintégration charges transfo et commercialisation dans le total charges courantes</t>
  </si>
  <si>
    <t>Actualisation référentiel</t>
  </si>
  <si>
    <t>Ajout onglet « Caractéristique Atelier » - Saisies semi automatisées</t>
  </si>
  <si>
    <t>Ajout onglet "Transformation et commercialisation" et correction EBE sur Edition 2  avec rajout des charges de transformation et de commercialisation</t>
  </si>
  <si>
    <t>Correction bug prix de fonctionnement</t>
  </si>
  <si>
    <t>Ajout Ratios Autonomie Alim dans Caractéristique Atelier</t>
  </si>
  <si>
    <t>Actualisation référentiel
Prise en compte SMIC 2014</t>
  </si>
  <si>
    <t>Correction « disparition Edition 1 »</t>
  </si>
  <si>
    <t>Mise à jour paramètres 2015</t>
  </si>
  <si>
    <t>Correction paramètres 2015</t>
  </si>
  <si>
    <t>Mode d'emploi</t>
  </si>
  <si>
    <t>AVERTISSEMENT :</t>
  </si>
  <si>
    <r>
      <t xml:space="preserve">Cet utilitaire a été élaboré pour faciliter l'appropriation de la méthode de calcul du coût de production développée par l'Institut de l'Elevage en lien avec les Chambres d'agriculture dans le cadre des Réseaux d'élevage, et la diffusion des clés de répartition des charges établies à partir des données du dispositif. Il a vocation à être diffusé à l'occasion des formations organisées par les animateurs régionaux et nationaux du dispositif Réseaux d'élevage. </t>
    </r>
    <r>
      <rPr>
        <b/>
        <sz val="10"/>
        <color indexed="16"/>
        <rFont val="Arial"/>
        <family val="2"/>
      </rPr>
      <t>Merci de vous adresser à la personne qui vous a remis cet outil pour toute question relative à son utilisation.</t>
    </r>
  </si>
  <si>
    <t>Onglet</t>
  </si>
  <si>
    <t>Objet</t>
  </si>
  <si>
    <t>Remarque</t>
  </si>
  <si>
    <t>Fonction informative</t>
  </si>
  <si>
    <t>Saisie</t>
  </si>
  <si>
    <r>
      <t xml:space="preserve">Cette feuille sert de vecteur d'importation des données nécessaires aux calculs. Elle doit être remplie dans le respect des indications données au regard de chaque variable (voir aussi les précisions figurant dans la feuille "Regroupements"). </t>
    </r>
    <r>
      <rPr>
        <b/>
        <sz val="9"/>
        <rFont val="Arial"/>
        <family val="2"/>
      </rPr>
      <t>Les cases en jaune foncé doivent être obligatoirement renseignée</t>
    </r>
    <r>
      <rPr>
        <sz val="9"/>
        <rFont val="Arial"/>
        <family val="2"/>
      </rPr>
      <t>s. Celles en jaune clair sont facultatives et permettent d'affiner les calculs de répartition des charges entre ateliers et types de surfaces.</t>
    </r>
  </si>
  <si>
    <t>Vecteur d'introduction des données de l'exploitation.</t>
  </si>
  <si>
    <t>Attention : dans le cas d'une exploitation caprine ayant un atelier hors-sol, ou des cultures pérennes et spéciales, ou des activités non strictement agricoles (tourisme, activité d'entreprise de travaux agricoles, ...) vous devez retirer des montants saisis tout ce qui se rapporte à ces activités.</t>
  </si>
  <si>
    <t>Calcul</t>
  </si>
  <si>
    <r>
      <t xml:space="preserve">C'est dans cette feuille que les charges et les produits sont répartis entre atelier principal (caprins), autres ateliers herbivores et atelier "cultures de vente".  </t>
    </r>
    <r>
      <rPr>
        <sz val="9"/>
        <color indexed="60"/>
        <rFont val="Arial"/>
        <family val="2"/>
      </rPr>
      <t>Attention : vous trouverez au bas du tableau le résultat d'une reconstitution de l'EBE de l'exploitation (hors activités exclues - cf ci-dessus). Cette information est purement informative. Elle vous permet de vérifier que tous les produits et toutes les charges ont bien été prises en compte dans la saisie.</t>
    </r>
  </si>
  <si>
    <t>Cœur de calcul, avec menus déroulants pour la sélection des clés de répartition des postes non affectés.</t>
  </si>
  <si>
    <t>Edition 1</t>
  </si>
  <si>
    <r>
      <t xml:space="preserve">Cette feuille restitue sous une </t>
    </r>
    <r>
      <rPr>
        <sz val="9"/>
        <color indexed="60"/>
        <rFont val="Arial"/>
        <family val="2"/>
      </rPr>
      <t xml:space="preserve">forme allégée </t>
    </r>
    <r>
      <rPr>
        <sz val="9"/>
        <rFont val="Arial"/>
        <family val="2"/>
      </rPr>
      <t>les résultats du calcul du coût de production et des produits de l'atelier sous la forme d'un tableau et d'un graphique. On peut y paramétrer l'affichage de valeurs de référence issues de la feuille "Référentiel" ainsi que le niveau de rémunération du travail souhaité par l'exploitant (en nb de SMIC brut / UMO).</t>
    </r>
  </si>
  <si>
    <t>Remise des résultats, avec possibilité de paramétrage par l'utilisateur.</t>
  </si>
  <si>
    <t>Edition 2</t>
  </si>
  <si>
    <r>
      <t xml:space="preserve">Cette feuille restitue sous une </t>
    </r>
    <r>
      <rPr>
        <sz val="9"/>
        <color indexed="60"/>
        <rFont val="Arial"/>
        <family val="2"/>
      </rPr>
      <t>forme détaillée</t>
    </r>
    <r>
      <rPr>
        <sz val="9"/>
        <rFont val="Arial"/>
        <family val="2"/>
      </rPr>
      <t xml:space="preserve"> les résultats du calcul du coût de production et des produits de l'atelier sous la forme d'un tableau et d'un graphique. On peut y paramétrer l'affichage de valeurs de référence issues de la feuille "Référentiel" ainsi que le niveau de rémunération du travail souhaité par l'exploitant (en nb de SMIC brut / UMO).</t>
    </r>
  </si>
  <si>
    <t>Simulation</t>
  </si>
  <si>
    <t xml:space="preserve">Cette feuille permet d'appliquer à chaque poste de coût de production des indices d'évolution (en prix et en volume) et d'éditer les résultats de la simulation obtenue sous une forme identique aux feuilles "Edition". </t>
  </si>
  <si>
    <t>Remise des résultats issus d'une simulation d'évolution des différents postes</t>
  </si>
  <si>
    <t>Référentiel</t>
  </si>
  <si>
    <t>Cette feuille permet de stocker des résultats issus de cas-types ou de groupes de référence, ce qui permet de les mobiliser au regard des résultats de l'exploitation étudiée dans les feuilles "Edition 1" et "Edition 2". On peut l'alimenter par copier/collage spécial/valeurs à partir de la zone verte située au bas de la feuille "Capitalisation".</t>
  </si>
  <si>
    <t>Stockage des données destinées à être utilisées comme référence</t>
  </si>
  <si>
    <t>Capitalisation</t>
  </si>
  <si>
    <r>
      <t xml:space="preserve">Cette feuille compile les données de l'exploitation traitée, pour un traitement "EXCEL" ultérieur ou, si l'exploitation traitée est un cas-type, pour alimenter la feuille "référentiel". La colonne D reprend les données de la ferme en cours de calcul (celles introduites dans la feuille "Saisie" + celles calculées) ; </t>
    </r>
    <r>
      <rPr>
        <b/>
        <sz val="9"/>
        <color indexed="10"/>
        <rFont val="Arial"/>
        <family val="2"/>
      </rPr>
      <t>ATTENTION</t>
    </r>
    <r>
      <rPr>
        <sz val="9"/>
        <color indexed="60"/>
        <rFont val="Arial"/>
        <family val="2"/>
      </rPr>
      <t xml:space="preserve"> :</t>
    </r>
    <r>
      <rPr>
        <sz val="9"/>
        <rFont val="Arial"/>
        <family val="2"/>
      </rPr>
      <t xml:space="preserve"> pour les conserver avant de traiter une autre exploitation, il faut faire un copier / collage spécial / valeurs de la colonne D dans une des colonnes vides à droite. Les 2 cellules "cas type ou système" et "description"  sont à remplir selon une typologie régionale ou personnelle pour permettre des traitements/regroupements entre exploitations semblables. </t>
    </r>
  </si>
  <si>
    <t>Exportation des données des exploitations traitées avec l'outil</t>
  </si>
  <si>
    <t>Pour récupérer les données nécessaires à l'alimentation de la feuille "référentiel", il suffit de copier la zone verte située au bas de la colonne D et d'en faire un collage spécial/valeur dans la feuille "Référentiel".</t>
  </si>
  <si>
    <t>Clés</t>
  </si>
  <si>
    <t>Cette feuille regroupe les clés utilisables pour la répartition des charges de structure et des charges supplétives.</t>
  </si>
  <si>
    <t>Fonction informative, avec possibilité de paramétrage par l'utilisateur</t>
  </si>
  <si>
    <t>Regroupements</t>
  </si>
  <si>
    <t>Cette feuille présente la définition des regroupements de charges et de produits par grands postes utilisée pour le cacul du coût de production et du prix de revient.</t>
  </si>
  <si>
    <t>Notes méthodo</t>
  </si>
  <si>
    <r>
      <t xml:space="preserve">Cette feuille est destinée à rassembler toutes les précisions méthodologiques utiles sur la façon dont se font les calculs. </t>
    </r>
    <r>
      <rPr>
        <sz val="9"/>
        <color indexed="60"/>
        <rFont val="Arial"/>
        <family val="2"/>
      </rPr>
      <t>Elle sera complétée au fur et à mesure.</t>
    </r>
  </si>
  <si>
    <t>Paramètres</t>
  </si>
  <si>
    <r>
      <t xml:space="preserve">Cette feuille regroupe la date de version de l'outil ainsi que certains paramètres-clés utilisés dans les calculs (valeur du SMIC, taux d'intérêt pour le capital propre, …).  </t>
    </r>
    <r>
      <rPr>
        <b/>
        <sz val="9"/>
        <rFont val="Arial"/>
        <family val="2"/>
      </rPr>
      <t>ATTENTION : Selon la campagne que vous traitez, vous devez modifier certaines de ces valeurs de référence !!!</t>
    </r>
  </si>
  <si>
    <t>Fonction informative avec paramétrage des valeurs de références selon l'année considérée.</t>
  </si>
  <si>
    <t>Plan comptable</t>
  </si>
  <si>
    <t>Numéros de comptes des différents postes de produits et de charges</t>
  </si>
  <si>
    <t>Importation des données</t>
  </si>
  <si>
    <t>Version de l'outil</t>
  </si>
  <si>
    <t>Cette feuille sert à introduire les données nécessaires aux calculs.</t>
  </si>
  <si>
    <t>Définition du système d'exploitation</t>
  </si>
  <si>
    <t>Type atelier CAP</t>
  </si>
  <si>
    <t>CAPsys</t>
  </si>
  <si>
    <t>Sélectionner votre type d'atelier CAP</t>
  </si>
  <si>
    <t>Saisie obligatoire</t>
  </si>
  <si>
    <t>Type atelier bovins lait</t>
  </si>
  <si>
    <t>BLsys</t>
  </si>
  <si>
    <t>Sélectionner votre type d'atelier BL</t>
  </si>
  <si>
    <t>Saisie obligatoire si atelier</t>
  </si>
  <si>
    <t>Type atelier bovins viande</t>
  </si>
  <si>
    <t>BVsys</t>
  </si>
  <si>
    <t>Sélectionner votre type d'atelier BV</t>
  </si>
  <si>
    <t>Type atelier ovins viande</t>
  </si>
  <si>
    <t>Ovsys</t>
  </si>
  <si>
    <t>Sélectionner votre type d'atelier OV</t>
  </si>
  <si>
    <t>Type atelier ovins lait</t>
  </si>
  <si>
    <t>OLsys</t>
  </si>
  <si>
    <t>Sélectionner votre type d'atelier OL</t>
  </si>
  <si>
    <t>Type atelier équins</t>
  </si>
  <si>
    <t>EQsys</t>
  </si>
  <si>
    <t>Sélectionner votre type d'atelier EQ</t>
  </si>
  <si>
    <t xml:space="preserve"> Zone Plaine/Montagne</t>
  </si>
  <si>
    <t>GCUsys</t>
  </si>
  <si>
    <t xml:space="preserve">Sélectionner Plaine/Montagne </t>
  </si>
  <si>
    <t>Libellé</t>
  </si>
  <si>
    <t>Variable</t>
  </si>
  <si>
    <t>Unité</t>
  </si>
  <si>
    <t>Numéros de comptes</t>
  </si>
  <si>
    <t>Nom de l'exploitation</t>
  </si>
  <si>
    <t>EXP</t>
  </si>
  <si>
    <t>Ces numéros sont cités à titre indicatif, vérifiez leur contenu</t>
  </si>
  <si>
    <t>Numéro Exploitation</t>
  </si>
  <si>
    <t>Numéro d'élevage (8 chiffres)</t>
  </si>
  <si>
    <t>Campagne</t>
  </si>
  <si>
    <t>CAMP</t>
  </si>
  <si>
    <t>AAAA</t>
  </si>
  <si>
    <t>Lait commercialisé brut</t>
  </si>
  <si>
    <t>LCB</t>
  </si>
  <si>
    <t>x 1000 lit</t>
  </si>
  <si>
    <t xml:space="preserve">lait vendu + lait cédé à un autre atelier </t>
  </si>
  <si>
    <t xml:space="preserve">7020 et 7021;7080;7087; fromagers: 7038 - 7022  </t>
  </si>
  <si>
    <t>Prix moyen du lait vendu</t>
  </si>
  <si>
    <t>PML</t>
  </si>
  <si>
    <t>€ / 1000 lit</t>
  </si>
  <si>
    <t>UMO Exploitant</t>
  </si>
  <si>
    <t>UMOns</t>
  </si>
  <si>
    <t>Sans les UMO bénévoles</t>
  </si>
  <si>
    <t>UMO salarié</t>
  </si>
  <si>
    <t>UMOs</t>
  </si>
  <si>
    <t>UGB caprins</t>
  </si>
  <si>
    <t>UGBCAP</t>
  </si>
  <si>
    <t>ugb</t>
  </si>
  <si>
    <t>1 chèvre=0.17 UGB - 1 bouc=0.17UGB - 1 chevrette=0.09UGB</t>
  </si>
  <si>
    <t>UGB bovins lait</t>
  </si>
  <si>
    <t>UGBBL</t>
  </si>
  <si>
    <t>UGB bovins viande</t>
  </si>
  <si>
    <t>UGBBV</t>
  </si>
  <si>
    <t>UGB ovins viande</t>
  </si>
  <si>
    <t>UGBOV</t>
  </si>
  <si>
    <t>UGB ovins lait</t>
  </si>
  <si>
    <t>UGBOL</t>
  </si>
  <si>
    <t>UGB équins</t>
  </si>
  <si>
    <t>UGBEQ</t>
  </si>
  <si>
    <t>Surface Agricole utile</t>
  </si>
  <si>
    <t>SAU</t>
  </si>
  <si>
    <t>ha</t>
  </si>
  <si>
    <t>hors parcours et estive</t>
  </si>
  <si>
    <t>dont SAU en propriété</t>
  </si>
  <si>
    <t>SPRO</t>
  </si>
  <si>
    <t>Surface en herbe</t>
  </si>
  <si>
    <t>SH</t>
  </si>
  <si>
    <t>dont SH utilisé par le troupeau CAP</t>
  </si>
  <si>
    <t>SHCAP</t>
  </si>
  <si>
    <t>Si pas connue, la calculer au prorata des UGB</t>
  </si>
  <si>
    <t>Surface en cultures fourragères</t>
  </si>
  <si>
    <t>CF</t>
  </si>
  <si>
    <t>dont CF utilisé par troupeau CAP</t>
  </si>
  <si>
    <t>CFCAP</t>
  </si>
  <si>
    <t>Surface en cultures de vente</t>
  </si>
  <si>
    <t>CV</t>
  </si>
  <si>
    <t>Surface en SCOP CV + gel</t>
  </si>
  <si>
    <t>dont CV utilisé par le troupeau CAP</t>
  </si>
  <si>
    <t>CVCAP</t>
  </si>
  <si>
    <t>Surfaces en cultures pérennes</t>
  </si>
  <si>
    <t>CP</t>
  </si>
  <si>
    <t>Surfaces en cultures spéciales</t>
  </si>
  <si>
    <t>CS</t>
  </si>
  <si>
    <t>Produit viande atelier CAP</t>
  </si>
  <si>
    <t>PVCAP</t>
  </si>
  <si>
    <t>€</t>
  </si>
  <si>
    <t>Vente ou autoconsommation de chèvres, chevreaux, boucs + variation d'inventaire cheptel (Valeur Stock fin - Valeur Stock début)</t>
  </si>
  <si>
    <t>7040-7045-7046-7048 ; 7121-7122-7131-7132-7137</t>
  </si>
  <si>
    <t>Achats animaux atelier CAP</t>
  </si>
  <si>
    <t>ANICAP</t>
  </si>
  <si>
    <t>Montant des achats d'animaux pour l'atelier CAP</t>
  </si>
  <si>
    <t>Autres produits affectable à l'atelier CAP</t>
  </si>
  <si>
    <t>PAUTCAP</t>
  </si>
  <si>
    <t xml:space="preserve">Autre que viande </t>
  </si>
  <si>
    <t>Produit atelier BL hors aides</t>
  </si>
  <si>
    <t>PTBL</t>
  </si>
  <si>
    <t>Produit atelier BV hors aides</t>
  </si>
  <si>
    <t>PTBV</t>
  </si>
  <si>
    <t>Produit atelier OV hors aides</t>
  </si>
  <si>
    <t>PTOV</t>
  </si>
  <si>
    <t>Produit atelier OL hors aides</t>
  </si>
  <si>
    <t>PTOL</t>
  </si>
  <si>
    <t>Produit atelier EQ hors aides</t>
  </si>
  <si>
    <t>PTEQ</t>
  </si>
  <si>
    <t xml:space="preserve">Produit ventes des surf. fourragères </t>
  </si>
  <si>
    <t>PVSF</t>
  </si>
  <si>
    <t>Vente fourrages et variation stock fourrager</t>
  </si>
  <si>
    <t>7010;7137</t>
  </si>
  <si>
    <t>Produit ventes des cultures de vente</t>
  </si>
  <si>
    <t>PCV</t>
  </si>
  <si>
    <t>Ventes réelles avec variation de stocks, ne pas tenir compte des cessions internes</t>
  </si>
  <si>
    <t>Produit ventes des cultures pérennes</t>
  </si>
  <si>
    <t>PCP</t>
  </si>
  <si>
    <t>Ventes réelles avec variation de stocks</t>
  </si>
  <si>
    <t>Produit ventes des cultures spéciales</t>
  </si>
  <si>
    <t>PCS</t>
  </si>
  <si>
    <t>Produit activités "exclues"</t>
  </si>
  <si>
    <t>PEX</t>
  </si>
  <si>
    <t>Autres produits non affectables</t>
  </si>
  <si>
    <t>PAUT</t>
  </si>
  <si>
    <t>Par exemple : produits financiers…</t>
  </si>
  <si>
    <t>7500;7540;7580;7600;7620;7640</t>
  </si>
  <si>
    <t>Aides couplées SCOP fourrages</t>
  </si>
  <si>
    <t>ACF</t>
  </si>
  <si>
    <t>Aides nettes de modulation</t>
  </si>
  <si>
    <t>Aides couplées SCOP cultures</t>
  </si>
  <si>
    <t>ACV</t>
  </si>
  <si>
    <t>Aides couplées atelier caprin</t>
  </si>
  <si>
    <t>ACCAP</t>
  </si>
  <si>
    <t>Aides nettes de modulation (prime à la chèvre …)</t>
  </si>
  <si>
    <t>Aides couplées autres herbivores</t>
  </si>
  <si>
    <t>ACAH</t>
  </si>
  <si>
    <t xml:space="preserve">Aides découplées DPU </t>
  </si>
  <si>
    <t>ADPU</t>
  </si>
  <si>
    <t>DPU nettes + remboursement de la franchise</t>
  </si>
  <si>
    <t>PHAE</t>
  </si>
  <si>
    <t>Autres aides atelier caprin</t>
  </si>
  <si>
    <t>AIDCAP</t>
  </si>
  <si>
    <t>Autres aides affectables aux animaux</t>
  </si>
  <si>
    <t>AIDANI</t>
  </si>
  <si>
    <t>ex: ICHN, aides conjoncturelles…</t>
  </si>
  <si>
    <t>Autres aides affectables aux cultures</t>
  </si>
  <si>
    <t>AIDCV</t>
  </si>
  <si>
    <t>primes environnementales</t>
  </si>
  <si>
    <t>Aides activités "exclues"</t>
  </si>
  <si>
    <t>AIDEX</t>
  </si>
  <si>
    <t>Concentrés, déshydratés  et minéraux achetés</t>
  </si>
  <si>
    <t>CM</t>
  </si>
  <si>
    <t>Total ateliers herbivores</t>
  </si>
  <si>
    <t>6014;6031</t>
  </si>
  <si>
    <t>dont pour l'atelier CAP</t>
  </si>
  <si>
    <t>CMCAP</t>
  </si>
  <si>
    <t>Poudre de lait achetée</t>
  </si>
  <si>
    <t>POUD</t>
  </si>
  <si>
    <t>dont pour l'atelier caprin</t>
  </si>
  <si>
    <t>POUDCAP</t>
  </si>
  <si>
    <t>Achats de fourrages</t>
  </si>
  <si>
    <t>ACFOU</t>
  </si>
  <si>
    <t>Total ateliers herbivores + frais de mise en pension</t>
  </si>
  <si>
    <t>6014;6027</t>
  </si>
  <si>
    <t>ACFOUCAP</t>
  </si>
  <si>
    <t>Engrais et amendements</t>
  </si>
  <si>
    <t>ENGA</t>
  </si>
  <si>
    <t>6011;6031;7134</t>
  </si>
  <si>
    <t>dont pour la surface en herbe</t>
  </si>
  <si>
    <t>ENGASH</t>
  </si>
  <si>
    <t>dont pour les cultures fourragères</t>
  </si>
  <si>
    <t>ENGACF</t>
  </si>
  <si>
    <t>Semences</t>
  </si>
  <si>
    <t>SEM</t>
  </si>
  <si>
    <t xml:space="preserve">6012;6031;7134 </t>
  </si>
  <si>
    <t>SEMSH</t>
  </si>
  <si>
    <t>SEMCF</t>
  </si>
  <si>
    <t>Autres charges végétales</t>
  </si>
  <si>
    <t>ACVEG</t>
  </si>
  <si>
    <t>Phytos, assurances végétales, taxes végétales, frais d'irrigation, fournitures pour végétaux.</t>
  </si>
  <si>
    <t>ACVEGSH</t>
  </si>
  <si>
    <t>ACVEGCF</t>
  </si>
  <si>
    <t xml:space="preserve">Frais véto </t>
  </si>
  <si>
    <t>FELV</t>
  </si>
  <si>
    <t>honoraires et produits</t>
  </si>
  <si>
    <t>6015;6225</t>
  </si>
  <si>
    <t>dont atelier CAP</t>
  </si>
  <si>
    <t>FELVCAP</t>
  </si>
  <si>
    <t>Autres frais d'élevage</t>
  </si>
  <si>
    <t>FELA</t>
  </si>
  <si>
    <t>contrôle de performance, frais de reproduction, frais divers d'élevage, achat de litière, location d'animaux, assurance pour les animaux, taxes animales,pénalités, travaux par tiers animaux.</t>
  </si>
  <si>
    <t>6016;6017;6022;6023;6031;6054;6066;6068;6132;6231;6234;6242;6280;6282;6284;6286;6340;6342;6344</t>
  </si>
  <si>
    <t>FELACAP</t>
  </si>
  <si>
    <t>Frais de transformation</t>
  </si>
  <si>
    <t>FTRANS</t>
  </si>
  <si>
    <t>FTRANSCAP</t>
  </si>
  <si>
    <t>Frais de commercialisation</t>
  </si>
  <si>
    <t>FCOM</t>
  </si>
  <si>
    <t>FCOMCAP</t>
  </si>
  <si>
    <t>Travaux par tiers totaux</t>
  </si>
  <si>
    <t>TPTNA</t>
  </si>
  <si>
    <t>Montant total</t>
  </si>
  <si>
    <t>6051;6054</t>
  </si>
  <si>
    <t>Carburants et lubrifiants</t>
  </si>
  <si>
    <t>CARBU</t>
  </si>
  <si>
    <t>6021;6032</t>
  </si>
  <si>
    <t>Entretien du matériel</t>
  </si>
  <si>
    <t>ENTMAT</t>
  </si>
  <si>
    <t>Achat petit matériel</t>
  </si>
  <si>
    <t>PETIMAT</t>
  </si>
  <si>
    <t>6023;6066</t>
  </si>
  <si>
    <t>Eau</t>
  </si>
  <si>
    <t>EAU</t>
  </si>
  <si>
    <t>6060;6061</t>
  </si>
  <si>
    <t>Electricité et gaz</t>
  </si>
  <si>
    <t>EDF</t>
  </si>
  <si>
    <t>gaz, électricité, combustible servant au chauffage ou à la production d'énergie</t>
  </si>
  <si>
    <t>6060;6063</t>
  </si>
  <si>
    <t>Entretien du bâtiment</t>
  </si>
  <si>
    <t>ENTBAT</t>
  </si>
  <si>
    <t>Si location de bâtiment ou installation (tank par ex) l'ajouter ici.</t>
  </si>
  <si>
    <t>6153;6154</t>
  </si>
  <si>
    <t>Frais divers de gestion</t>
  </si>
  <si>
    <t>GEST</t>
  </si>
  <si>
    <t>Frais de gestion, fourniture et frais divers (cotisation, abonnements, PTT, téléphone, …), assurances, impôts et taxes, transports et déplacements, services bancaires.</t>
  </si>
  <si>
    <t>6024;6064;6090;6160;6161;6180;6181;6226;6228;6241;6250;6251;6256;6260;6261;6262;6270;6280;6350;6354;6370;6500;6580</t>
  </si>
  <si>
    <t>Fermage (frais réels) + divers foncier</t>
  </si>
  <si>
    <t>FERM</t>
  </si>
  <si>
    <t xml:space="preserve">Fermages annuels + entretien du foncier + locations précaires +amortissements des améliorations foncières </t>
  </si>
  <si>
    <t xml:space="preserve">6131;6151;6811(voir compte 2812 et suivant pour le détail) </t>
  </si>
  <si>
    <t>Salaires et charges salariales</t>
  </si>
  <si>
    <t>SAL</t>
  </si>
  <si>
    <t>Salaires et charges sociales associées aux salaires</t>
  </si>
  <si>
    <t>6210;6411;6415;6450;6451;6480</t>
  </si>
  <si>
    <t>Frais financiers</t>
  </si>
  <si>
    <t>FFIN</t>
  </si>
  <si>
    <t>Intérêts des emprunts et frais financiers divers (dont court-terme), hors frais financier des emprunts fonciers.</t>
  </si>
  <si>
    <t>6168;6612;6613;6614;6617;6618</t>
  </si>
  <si>
    <t>Amortissements du matériel</t>
  </si>
  <si>
    <t>AMORTMAT</t>
  </si>
  <si>
    <t xml:space="preserve">Amortissements comptables </t>
  </si>
  <si>
    <t>6811;6872 (voir comptes 2814 et suivants pour le détail)</t>
  </si>
  <si>
    <t>Amortissements bâtiments &amp; installations</t>
  </si>
  <si>
    <t>AMORTBAT</t>
  </si>
  <si>
    <t>6811 (voir comptes 2814 et suivants pour le détail)</t>
  </si>
  <si>
    <t>Fermage moyen d'opportunité</t>
  </si>
  <si>
    <t>FERMOP</t>
  </si>
  <si>
    <t>€ / ha</t>
  </si>
  <si>
    <t>Prix moyen du fermage par ha de l'exploitation (ou prix moyen dans la région)</t>
  </si>
  <si>
    <t>MSA exploitants</t>
  </si>
  <si>
    <t>MSA</t>
  </si>
  <si>
    <t>Utilisée pour reconstituer l'EBE et le disponible de l'atelier et de l'exploitation.</t>
  </si>
  <si>
    <t>6460;6461 ou voir compte de résultats (charges)</t>
  </si>
  <si>
    <t>Capitaux propres hors foncier</t>
  </si>
  <si>
    <t>CAP</t>
  </si>
  <si>
    <t>Actif du bilan moins emprunts et dettes. Si les comptes associés sont identifiés, ils participent au capital propre.</t>
  </si>
  <si>
    <t>1010;1015;1041;1068;1080;1200;1310;1390;1391</t>
  </si>
  <si>
    <t>Impôts fonciers</t>
  </si>
  <si>
    <t>IF</t>
  </si>
  <si>
    <t>Non pris en compte; sert à reconstituer l'EBE</t>
  </si>
  <si>
    <t>6141;6352</t>
  </si>
  <si>
    <t>Données complémentaires concernant les surfaces de cultures intra-consommées par l'atelier CAP</t>
  </si>
  <si>
    <t>Engrais</t>
  </si>
  <si>
    <t>ENGACINTCAP</t>
  </si>
  <si>
    <t>se substitue aux calculs automatiques si renseigné</t>
  </si>
  <si>
    <t>SEMCINTCAP</t>
  </si>
  <si>
    <t>ACCINTCAP</t>
  </si>
  <si>
    <t>Travaux par tiers</t>
  </si>
  <si>
    <t>TPTACINTCAP</t>
  </si>
  <si>
    <t>Autres données complémentaires</t>
  </si>
  <si>
    <t>EBE</t>
  </si>
  <si>
    <t>pour vérifier que toutes les charges et produits ont bien été prises en compte. Noter qu'il s'agit d'un EBE hors activités exclues (hors-sol, cultures pérennes &amp; spéciales, activités non strictement agricoles comme le tourisme à la ferme, ...).</t>
  </si>
  <si>
    <t xml:space="preserve">Remboursements annuel  de capitaux d'emprunts LTMT </t>
  </si>
  <si>
    <t>REMB</t>
  </si>
  <si>
    <t>Les amortissements permettent de calculer le revenu courant; si on remplace ces amortissements par le capital d'emprunt annuel remboursé (=annuités-frais financiers). Ce coût de production sera alors plus proche de la trésorerie annuelle de l'exploitation.</t>
  </si>
  <si>
    <t>tableau des emprunts. Ne prendre que les EMLT hors fonciers</t>
  </si>
  <si>
    <t>Amortissement améliorations foncières</t>
  </si>
  <si>
    <t>AMORTAMEF</t>
  </si>
  <si>
    <t>Produits financiers</t>
  </si>
  <si>
    <t>PFIN</t>
  </si>
  <si>
    <t>Charges activités exclues</t>
  </si>
  <si>
    <t>CHARGEX</t>
  </si>
  <si>
    <t>Répartition optionnelle de la main d'œuvre</t>
  </si>
  <si>
    <t>UMO exploitant affectées à l'atelier CAP</t>
  </si>
  <si>
    <t>UMOCAP</t>
  </si>
  <si>
    <t>% de la main d'œuvre affecté à l'atelier CAP</t>
  </si>
  <si>
    <t>UMO salariées affectées à l'atelier CAP</t>
  </si>
  <si>
    <t>UMOSACAP</t>
  </si>
  <si>
    <t>UMO exploitant affectées aux autres ateliers herbivores</t>
  </si>
  <si>
    <t>UMOAH</t>
  </si>
  <si>
    <t>% de la main d'œuvre affecté aux autres ateliers herbivores</t>
  </si>
  <si>
    <t>UMO salariées affectées aux autres ateliers herbivores</t>
  </si>
  <si>
    <t>UMOSAAH</t>
  </si>
  <si>
    <t>UMOexploitant affectées à l'atelier CV</t>
  </si>
  <si>
    <t>UMOCV</t>
  </si>
  <si>
    <r>
      <t xml:space="preserve">% de la main d'œuvre affecté à l'atelier </t>
    </r>
    <r>
      <rPr>
        <b/>
        <sz val="8"/>
        <rFont val="Arial"/>
        <family val="2"/>
      </rPr>
      <t>CV</t>
    </r>
  </si>
  <si>
    <t>UMO salariées affectées à l'atelier CV</t>
  </si>
  <si>
    <t>UMOSACV</t>
  </si>
  <si>
    <t>UMOexploitant affectées à l'atelier CP</t>
  </si>
  <si>
    <t>UMOCP</t>
  </si>
  <si>
    <r>
      <t xml:space="preserve">% de la main d'œuvre affecté à l'atelier </t>
    </r>
    <r>
      <rPr>
        <b/>
        <sz val="8"/>
        <rFont val="Arial"/>
        <family val="2"/>
      </rPr>
      <t>CP</t>
    </r>
  </si>
  <si>
    <t>UMO salariées affectées à l'atelier CP</t>
  </si>
  <si>
    <t>UMOSACP</t>
  </si>
  <si>
    <t>UMOexploitant affectées à l'atelier CS</t>
  </si>
  <si>
    <t>UMOCS</t>
  </si>
  <si>
    <r>
      <t xml:space="preserve">% de la main d'œuvre affecté à l'atelier </t>
    </r>
    <r>
      <rPr>
        <b/>
        <sz val="8"/>
        <rFont val="Arial"/>
        <family val="2"/>
      </rPr>
      <t>CS</t>
    </r>
  </si>
  <si>
    <t>UMO salariées affectées à l'atelier CS</t>
  </si>
  <si>
    <t>UMOSACS</t>
  </si>
  <si>
    <t>Détail des calculs</t>
  </si>
  <si>
    <t>Cette feuille est purement informative. Elle restitue le détail des calculs de répartition des charges</t>
  </si>
  <si>
    <t>et des produits entre les différents ateliers, qui se fait désormais de façon automatique en fonction</t>
  </si>
  <si>
    <t>Total</t>
  </si>
  <si>
    <t>de la sélection réalisée en en-tête de la feuille "Saisie".</t>
  </si>
  <si>
    <t>Surfaces utilisées par le troupeau CAP (ha) :</t>
  </si>
  <si>
    <t>[ choix du type d'atelier CAP, du type d'atelier AH et du type d'atelier Cultures ].</t>
  </si>
  <si>
    <t>Surfaces utilisées par le troupeau AH (ha) :</t>
  </si>
  <si>
    <t>Total Exploitation</t>
  </si>
  <si>
    <t>Atelier CAP</t>
  </si>
  <si>
    <t>Total autres ateliers herbivores</t>
  </si>
  <si>
    <t>Cultures de vente</t>
  </si>
  <si>
    <t>dont prélevées pour les CAP</t>
  </si>
  <si>
    <t>Cultures pérennes</t>
  </si>
  <si>
    <t>Cultures spéciales</t>
  </si>
  <si>
    <t>clés de répartition</t>
  </si>
  <si>
    <t>BL</t>
  </si>
  <si>
    <t>BV</t>
  </si>
  <si>
    <t>OV</t>
  </si>
  <si>
    <t>OL</t>
  </si>
  <si>
    <t>EQ</t>
  </si>
  <si>
    <t>Coûts par ha</t>
  </si>
  <si>
    <t>Postes de charges et produits</t>
  </si>
  <si>
    <t xml:space="preserve"> </t>
  </si>
  <si>
    <t>Total des PRODUITS</t>
  </si>
  <si>
    <t>Total UGB :</t>
  </si>
  <si>
    <t xml:space="preserve">Produit des ventes </t>
  </si>
  <si>
    <t>Poste spécifique à l'atelier</t>
  </si>
  <si>
    <t>Produit viande de l'atelier CAP</t>
  </si>
  <si>
    <t>achats d'animaux</t>
  </si>
  <si>
    <t>Autres produits de l'atelier caprin</t>
  </si>
  <si>
    <t>Produit autres ateliers herbivores</t>
  </si>
  <si>
    <t>Produit des ventes de fourrage</t>
  </si>
  <si>
    <t>Clé unique (prorata des UGB)</t>
  </si>
  <si>
    <t>Produit des cultures de vente</t>
  </si>
  <si>
    <t>Clé automatique (cf feuille "Saisie")</t>
  </si>
  <si>
    <t>Total Aides couplées</t>
  </si>
  <si>
    <t>Aides SCOP cultures fourragères</t>
  </si>
  <si>
    <t>Clé calculée (prorata CF / UGB)</t>
  </si>
  <si>
    <t>Aides SCOP cultures de vente</t>
  </si>
  <si>
    <t>Aides découplées et 2ème pilier</t>
  </si>
  <si>
    <t xml:space="preserve">DPU </t>
  </si>
  <si>
    <t>Clé unique (prorata de la SAU)</t>
  </si>
  <si>
    <t>Clé unique (prorata des SH)</t>
  </si>
  <si>
    <t xml:space="preserve">Autres aides affectables aux surfaces </t>
  </si>
  <si>
    <t>Charges courantes</t>
  </si>
  <si>
    <t>Achats d'aliments</t>
  </si>
  <si>
    <t xml:space="preserve">Concentrés et minéraux </t>
  </si>
  <si>
    <t>Clé unique (prorata des ugb)</t>
  </si>
  <si>
    <t>Approvisionnement surfaces</t>
  </si>
  <si>
    <t>Frais d'élevage</t>
  </si>
  <si>
    <t>Affectation directe à l'atelier</t>
  </si>
  <si>
    <t>Frais de transformation et commercialisation</t>
  </si>
  <si>
    <t xml:space="preserve">Frais de transformation </t>
  </si>
  <si>
    <t>Coûts par UGB</t>
  </si>
  <si>
    <t>CL</t>
  </si>
  <si>
    <t>Mecanisation</t>
  </si>
  <si>
    <t>€/UGB</t>
  </si>
  <si>
    <t xml:space="preserve">Travaux par tiers </t>
  </si>
  <si>
    <t>Bâtiment</t>
  </si>
  <si>
    <t>Frais généraux</t>
  </si>
  <si>
    <t>Fermage et frais du foncier</t>
  </si>
  <si>
    <t>Amortissements</t>
  </si>
  <si>
    <t>Matériel</t>
  </si>
  <si>
    <t>Charges supplétives</t>
  </si>
  <si>
    <t>Rémunération des terres en propriété</t>
  </si>
  <si>
    <t>Rémunération du capital propre</t>
  </si>
  <si>
    <t>Coût du travail des exploitants</t>
  </si>
  <si>
    <t>Produits - Charges totales</t>
  </si>
  <si>
    <t>Reconstitution de l'EBE</t>
  </si>
  <si>
    <t>EBE [ pour vérification ]</t>
  </si>
  <si>
    <t>Remboursement de capital emprunté</t>
  </si>
  <si>
    <t>RCAI</t>
  </si>
  <si>
    <t>Résultats économiques de l'atelier cultures de vente (hors surface intraconsommée)</t>
  </si>
  <si>
    <t>Surface CV non intraconsommée</t>
  </si>
  <si>
    <t xml:space="preserve">Produit brut </t>
  </si>
  <si>
    <t>par ha CV</t>
  </si>
  <si>
    <t>UMO cultures de vente (UMO cv)</t>
  </si>
  <si>
    <t>Charges opérationnelles</t>
  </si>
  <si>
    <t>Ha de Cultures par UMO cv</t>
  </si>
  <si>
    <t>Charges de structure</t>
  </si>
  <si>
    <t>Revenu Courant avant Impôts</t>
  </si>
  <si>
    <t>Ecart EBE calculé/EBE réel</t>
  </si>
  <si>
    <t>Les cases jaunes sont à saisir</t>
  </si>
  <si>
    <t>Ne rien saisir dans les cases oranges</t>
  </si>
  <si>
    <t>Données techniques complémentaires</t>
  </si>
  <si>
    <t>0- Données générales</t>
  </si>
  <si>
    <t>Système d'exploitation</t>
  </si>
  <si>
    <t>Menu déroulant</t>
  </si>
  <si>
    <t>Système d'alimentation</t>
  </si>
  <si>
    <t>Nombre de chèvres</t>
  </si>
  <si>
    <t>si possible faire une moyenne  pondérée des effectifs mensuels</t>
  </si>
  <si>
    <t>Nombre de chèvres/UMO caprine</t>
  </si>
  <si>
    <t>Nombre de chevrettes</t>
  </si>
  <si>
    <t>Nombre de boucs</t>
  </si>
  <si>
    <t>Taux de renouvellement %</t>
  </si>
  <si>
    <t>% du troupeau issu d'IA</t>
  </si>
  <si>
    <t>Lait commercialisé</t>
  </si>
  <si>
    <t>Litres</t>
  </si>
  <si>
    <t>Lait total vendu (Laiterie, fromagerie …)</t>
  </si>
  <si>
    <t>dont lait comm. en vente directe ou Transf.</t>
  </si>
  <si>
    <t>Lait par chèvre</t>
  </si>
  <si>
    <t>Litres / chèvre</t>
  </si>
  <si>
    <t>Production totale de lait / nb moyen de chèvre</t>
  </si>
  <si>
    <t>TB (g/litre)</t>
  </si>
  <si>
    <t>g/l</t>
  </si>
  <si>
    <t>TP(g/litre)</t>
  </si>
  <si>
    <r>
      <t xml:space="preserve">1- Approvisionnement des animaux                                              </t>
    </r>
    <r>
      <rPr>
        <b/>
        <sz val="10"/>
        <color indexed="61"/>
        <rFont val="Arial"/>
        <family val="2"/>
      </rPr>
      <t xml:space="preserve"> Tenir compte des variations de stocks</t>
    </r>
  </si>
  <si>
    <t>Concentrés achetés (kg totaux)</t>
  </si>
  <si>
    <t>kg totaux</t>
  </si>
  <si>
    <t>Concentrés achetés troup. caprin , hors céréales, déshy et CMV</t>
  </si>
  <si>
    <t>Prix des concentrés (€/tonne)</t>
  </si>
  <si>
    <t xml:space="preserve">€/T </t>
  </si>
  <si>
    <t>Prix moyen des différents concentrés achetés</t>
  </si>
  <si>
    <t>Céréales achetées (kg totaux)</t>
  </si>
  <si>
    <t>Quantité de céréales achetées troupeau caprin</t>
  </si>
  <si>
    <t>Prix des céréales achetées (€/tonne)</t>
  </si>
  <si>
    <t>Prix moyen des céréales achetés</t>
  </si>
  <si>
    <t>Céréales autoconsommées (kg totaux)</t>
  </si>
  <si>
    <t>Quantité de céréales autoconsommées troupeau caprin</t>
  </si>
  <si>
    <t>Concentrés Totaux (kg/chèvre)</t>
  </si>
  <si>
    <t>kg/CA</t>
  </si>
  <si>
    <t>Quantité de Concentrés et céréales hors déshy / chèvre</t>
  </si>
  <si>
    <t>Concentrés Totaux (g/litre)</t>
  </si>
  <si>
    <t>Quantité de Concentrés et céréales hors déshy / L de lait</t>
  </si>
  <si>
    <t>Déshydratés achetés consommés (kg totaux)</t>
  </si>
  <si>
    <t>Quantité de déshydratés consommés troupeau caprin</t>
  </si>
  <si>
    <t>Prix des déshydratés (€/tonne)</t>
  </si>
  <si>
    <t>Prix moyen des différents déshydratés achetés</t>
  </si>
  <si>
    <t>Déshydratés (kg/chèvre)</t>
  </si>
  <si>
    <t>Quantité de déshy / Chèvre</t>
  </si>
  <si>
    <t>Déshydratés (g/litre)</t>
  </si>
  <si>
    <t>Quantité de déshy / L de lait</t>
  </si>
  <si>
    <t>Concentrés et déshydratés (kg/chèvre)</t>
  </si>
  <si>
    <t>Concentrés et déshydratés (g/litre)</t>
  </si>
  <si>
    <t xml:space="preserve">Qté foin autoconsommé </t>
  </si>
  <si>
    <t>T MB</t>
  </si>
  <si>
    <t>Troupeau caprin</t>
  </si>
  <si>
    <t>Qté d'ensilage et enrubannage autoconsommé</t>
  </si>
  <si>
    <t>T MS</t>
  </si>
  <si>
    <t xml:space="preserve">Qté foin achetée </t>
  </si>
  <si>
    <t>Prix des fourrages achetés</t>
  </si>
  <si>
    <t>€ / T MB</t>
  </si>
  <si>
    <t xml:space="preserve">Prix moyen </t>
  </si>
  <si>
    <t>Qté d'ensilage et enrubannage achetés</t>
  </si>
  <si>
    <t>Prix de l'ensilage et enrubannage achetés</t>
  </si>
  <si>
    <t>€ / T MS</t>
  </si>
  <si>
    <t>Qté foin / chèvre</t>
  </si>
  <si>
    <t>kg MS</t>
  </si>
  <si>
    <t>Poudre de lait</t>
  </si>
  <si>
    <t>kg</t>
  </si>
  <si>
    <t>Quantité de poudre de lait achetée</t>
  </si>
  <si>
    <t>Prix de la poudre de lait</t>
  </si>
  <si>
    <t>€ / T</t>
  </si>
  <si>
    <t>Montant total des achats de poudre de lait</t>
  </si>
  <si>
    <t xml:space="preserve">2- Autonomie alimentaire en élevage                        </t>
  </si>
  <si>
    <t>Troupeau pâturant</t>
  </si>
  <si>
    <t>Fourrages consommés hors pâture (foin-ensilage)</t>
  </si>
  <si>
    <t>Estimation Herbe pâturée</t>
  </si>
  <si>
    <t xml:space="preserve">Total MS Fourrage </t>
  </si>
  <si>
    <t>Autonomie Fourragère</t>
  </si>
  <si>
    <t>%</t>
  </si>
  <si>
    <t>Concentrés +déshydratés achetés</t>
  </si>
  <si>
    <t>Concentrés +déshydratés Totaux</t>
  </si>
  <si>
    <t>Autonomie Concentrés</t>
  </si>
  <si>
    <t>% autonomie en MS</t>
  </si>
  <si>
    <t>% Lait Autonome (€)</t>
  </si>
  <si>
    <t>Coefficients Autonomie Alimentaire France Agrimer</t>
  </si>
  <si>
    <t>Matière Sèche achetée / Matière Sèche Consommée</t>
  </si>
  <si>
    <t>MS achetée / MS consommée / 1 000 L</t>
  </si>
  <si>
    <t>% / 1 000 L</t>
  </si>
  <si>
    <t>6- Produits</t>
  </si>
  <si>
    <t>Lait d'hiver (sept – février)</t>
  </si>
  <si>
    <t>en % de la production annuelle</t>
  </si>
  <si>
    <t>Lait AOP</t>
  </si>
  <si>
    <t>Oui – non</t>
  </si>
  <si>
    <t>Matière Grasse</t>
  </si>
  <si>
    <t>TB</t>
  </si>
  <si>
    <t>Incidence financière MG</t>
  </si>
  <si>
    <t>€ / 1000 L</t>
  </si>
  <si>
    <t>Matière Protéique</t>
  </si>
  <si>
    <t>TP</t>
  </si>
  <si>
    <t>Incidence financière MP</t>
  </si>
  <si>
    <t>moyenne pondérée</t>
  </si>
  <si>
    <t>Incidence financière bactério</t>
  </si>
  <si>
    <t>Incidence financière Cellules</t>
  </si>
  <si>
    <t>Prix de base</t>
  </si>
  <si>
    <t>Prix du lait</t>
  </si>
  <si>
    <t>Produit viande chevreaux</t>
  </si>
  <si>
    <t>Vente de reproducteur</t>
  </si>
  <si>
    <t>Lait Total</t>
  </si>
  <si>
    <t>dont lait Transf.</t>
  </si>
  <si>
    <t>dont lait comm. en vente directe</t>
  </si>
  <si>
    <t>dont lait comm. en laiterie</t>
  </si>
  <si>
    <t>dont lait autoconsommé</t>
  </si>
  <si>
    <t>dont lait perdu</t>
  </si>
  <si>
    <r>
      <t xml:space="preserve">1- Frais de transformation                                              </t>
    </r>
    <r>
      <rPr>
        <b/>
        <sz val="10"/>
        <color indexed="61"/>
        <rFont val="Arial"/>
        <family val="2"/>
      </rPr>
      <t xml:space="preserve"> Tenir compte des variations de stocks</t>
    </r>
  </si>
  <si>
    <t>Frais Totaux</t>
  </si>
  <si>
    <t>Dont Frais de transformation Fromages Caprins :</t>
  </si>
  <si>
    <t>dont produits d'entretiens</t>
  </si>
  <si>
    <t>dont ingrédients (présure, ferments, sel, herbes...)</t>
  </si>
  <si>
    <t>dont frais d'analyse (autocontrôles, fromages, lait, eau..)</t>
  </si>
  <si>
    <t>dont emballages (yaourth, faisselles jetables...)</t>
  </si>
  <si>
    <t>dont appui technique fromager</t>
  </si>
  <si>
    <t>dont frais GDS Fromager</t>
  </si>
  <si>
    <t>dont frais salarié à la transformation</t>
  </si>
  <si>
    <t>dont petit matériel (louche, 3 moules, 1 tablier,...)</t>
  </si>
  <si>
    <t>dont autres frais de transformation</t>
  </si>
  <si>
    <t>Frais de transformation Viande (abattage, découpe...)</t>
  </si>
  <si>
    <t>2 – Frais de commercialisation</t>
  </si>
  <si>
    <t>Dont pour l'atelier caprin</t>
  </si>
  <si>
    <t>dont frais de marchés</t>
  </si>
  <si>
    <t>dont frais de référencement</t>
  </si>
  <si>
    <t>dont frais de déplacement (gasoil, autoroute...)</t>
  </si>
  <si>
    <t>dont emballages : étiquettes, papiers, sacs...</t>
  </si>
  <si>
    <t>dont frais AOC, associations pour vente, publicités...</t>
  </si>
  <si>
    <t>dont frais de salarié pour la commercialisation</t>
  </si>
  <si>
    <t>3 – Autres données</t>
  </si>
  <si>
    <t>Km / an pour la commercialisation</t>
  </si>
  <si>
    <t>Km</t>
  </si>
  <si>
    <t>Permet de calculer la quantité de lait vendue par km</t>
  </si>
  <si>
    <t>Version de l'outil :</t>
  </si>
  <si>
    <t>VOTRE</t>
  </si>
  <si>
    <t>Référence</t>
  </si>
  <si>
    <t>Votre groupe ou cas-type de référence :</t>
  </si>
  <si>
    <t>ATELIER</t>
  </si>
  <si>
    <t>LIVREUR SPE PATURAGE 2014</t>
  </si>
  <si>
    <t>Conjoncture :</t>
  </si>
  <si>
    <t>[ en € / 1000 litres de lait vendus ]</t>
  </si>
  <si>
    <t>Coût de production total atelier</t>
  </si>
  <si>
    <t>Décomposition par</t>
  </si>
  <si>
    <t>Ecart</t>
  </si>
  <si>
    <t>&gt; Charges courantes</t>
  </si>
  <si>
    <r>
      <t>postes</t>
    </r>
    <r>
      <rPr>
        <sz val="10"/>
        <color indexed="18"/>
        <rFont val="Arial"/>
        <family val="2"/>
      </rPr>
      <t xml:space="preserve"> [ € / 1000 lit ]</t>
    </r>
  </si>
  <si>
    <t>Aliments achetés</t>
  </si>
  <si>
    <t>Concentrés et minéraux</t>
  </si>
  <si>
    <t>Postes de charges</t>
  </si>
  <si>
    <t>Approvisionnement des surfaces</t>
  </si>
  <si>
    <t>Travail</t>
  </si>
  <si>
    <t>Capital</t>
  </si>
  <si>
    <t>Bâtiments</t>
  </si>
  <si>
    <t>Mécanisation</t>
  </si>
  <si>
    <t>Frais transfo et com.</t>
  </si>
  <si>
    <t>Transfo et commercialisation</t>
  </si>
  <si>
    <t>Appros surfaces</t>
  </si>
  <si>
    <t>Frais transformation</t>
  </si>
  <si>
    <t>Frais commercialisation</t>
  </si>
  <si>
    <r>
      <t xml:space="preserve">Mécanisation </t>
    </r>
    <r>
      <rPr>
        <b/>
        <sz val="10"/>
        <color indexed="16"/>
        <rFont val="Arial"/>
        <family val="2"/>
      </rPr>
      <t>[ hors amortissements ]</t>
    </r>
  </si>
  <si>
    <t>Postes de produits</t>
  </si>
  <si>
    <t xml:space="preserve">Prix du lait </t>
  </si>
  <si>
    <t>Produits joints</t>
  </si>
  <si>
    <t>Achat petit matériel et divers matériel</t>
  </si>
  <si>
    <t>Aides totales</t>
  </si>
  <si>
    <r>
      <t xml:space="preserve">Bâtiments </t>
    </r>
    <r>
      <rPr>
        <b/>
        <sz val="10"/>
        <color indexed="16"/>
        <rFont val="Arial"/>
        <family val="2"/>
      </rPr>
      <t>[ hors amortissements ]</t>
    </r>
  </si>
  <si>
    <t>&gt; Amortissements</t>
  </si>
  <si>
    <t>&gt; Charges supplétives</t>
  </si>
  <si>
    <t>Rémunération forfaitaire du travail expl.</t>
  </si>
  <si>
    <t>MSA affectable à l'atelier (pour info)</t>
  </si>
  <si>
    <t>Produit de l'atelier</t>
  </si>
  <si>
    <t>Lait vendu</t>
  </si>
  <si>
    <t>Viande et autres produits de l'atelier</t>
  </si>
  <si>
    <t>Dont achats d'animaux (en -)</t>
  </si>
  <si>
    <t>Total Aides découplées + 2° pilier</t>
  </si>
  <si>
    <t>Commentaires :</t>
  </si>
  <si>
    <t>dont aides du 2° Pilier</t>
  </si>
  <si>
    <t>dont aides découplées (DPU)</t>
  </si>
  <si>
    <t>Rémunération du travail consacré à l'atelier CAP</t>
  </si>
  <si>
    <r>
      <t>Rémunération réelle du travail exploitant</t>
    </r>
    <r>
      <rPr>
        <sz val="10"/>
        <rFont val="Arial"/>
        <family val="2"/>
      </rPr>
      <t xml:space="preserve"> [€ / 1000 lit.]</t>
    </r>
  </si>
  <si>
    <t>Soit, en nb de SMIC brut annuel par UMO exploitant</t>
  </si>
  <si>
    <r>
      <t>Nb d'</t>
    </r>
    <r>
      <rPr>
        <b/>
        <sz val="10"/>
        <rFont val="Arial"/>
        <family val="2"/>
      </rPr>
      <t xml:space="preserve">UMO salarié + exploitant </t>
    </r>
    <r>
      <rPr>
        <sz val="10"/>
        <rFont val="Arial"/>
        <family val="2"/>
      </rPr>
      <t xml:space="preserve">consacrées à l'atelier laitier </t>
    </r>
  </si>
  <si>
    <r>
      <t xml:space="preserve">Lait vendu / UMO salarié + exploitant affectée à l’atelier </t>
    </r>
    <r>
      <rPr>
        <sz val="10"/>
        <rFont val="Arial"/>
        <family val="2"/>
      </rPr>
      <t>[ x 1000 litres ]</t>
    </r>
  </si>
  <si>
    <t>Conjoncture</t>
  </si>
  <si>
    <r>
      <t xml:space="preserve">Kit de calcul du Prix de revient du lait </t>
    </r>
    <r>
      <rPr>
        <sz val="11"/>
        <color indexed="9"/>
        <rFont val="Arial"/>
        <family val="2"/>
      </rPr>
      <t>[ € / 1000 litres ]</t>
    </r>
  </si>
  <si>
    <r>
      <t xml:space="preserve">Prix pour </t>
    </r>
    <r>
      <rPr>
        <b/>
        <sz val="9"/>
        <color indexed="60"/>
        <rFont val="Arial"/>
        <family val="2"/>
      </rPr>
      <t xml:space="preserve">0 SMIC </t>
    </r>
    <r>
      <rPr>
        <b/>
        <sz val="9"/>
        <rFont val="Arial"/>
        <family val="2"/>
      </rPr>
      <t xml:space="preserve">par UMO expl.                  </t>
    </r>
    <r>
      <rPr>
        <b/>
        <sz val="9"/>
        <color indexed="60"/>
        <rFont val="Arial"/>
        <family val="2"/>
      </rPr>
      <t>hors aides découplées et 2° pilier</t>
    </r>
  </si>
  <si>
    <r>
      <t>Rémunération de la MO exploitant par</t>
    </r>
    <r>
      <rPr>
        <b/>
        <sz val="9"/>
        <color indexed="60"/>
        <rFont val="Arial"/>
        <family val="2"/>
      </rPr>
      <t xml:space="preserve"> tranche de 1 SMIC</t>
    </r>
  </si>
  <si>
    <r>
      <t xml:space="preserve">Prix de revient du lait </t>
    </r>
    <r>
      <rPr>
        <sz val="11"/>
        <color indexed="9"/>
        <rFont val="Arial"/>
        <family val="2"/>
      </rPr>
      <t>[ € / 1000 litres ]</t>
    </r>
  </si>
  <si>
    <r>
      <t xml:space="preserve">Votre objectif </t>
    </r>
    <r>
      <rPr>
        <sz val="9"/>
        <rFont val="Arial"/>
        <family val="2"/>
      </rPr>
      <t>en nb de SMIC brut par UMO exploitant</t>
    </r>
  </si>
  <si>
    <r>
      <t xml:space="preserve">Aides découplées + 2° pilier avec </t>
    </r>
    <r>
      <rPr>
        <b/>
        <sz val="9"/>
        <color indexed="60"/>
        <rFont val="Arial"/>
        <family val="2"/>
      </rPr>
      <t>répartition par ha de SAU</t>
    </r>
  </si>
  <si>
    <t xml:space="preserve">Prix de revient en fonction de la rémunération du travail des exploitants </t>
  </si>
  <si>
    <r>
      <t xml:space="preserve">Prix de fonctionnement </t>
    </r>
    <r>
      <rPr>
        <sz val="11"/>
        <color indexed="9"/>
        <rFont val="Arial"/>
        <family val="2"/>
      </rPr>
      <t>[ € / 1000 litres ]</t>
    </r>
  </si>
  <si>
    <t>Produit de l'atelier lait</t>
  </si>
  <si>
    <t>Charges opérationnelles*</t>
  </si>
  <si>
    <t>Charges de struct. hors FF et amort.*</t>
  </si>
  <si>
    <t>EBE atelier lait*</t>
  </si>
  <si>
    <t>Annuités +FF CT affectées à l'atelier</t>
  </si>
  <si>
    <r>
      <t>Revenu disponible*</t>
    </r>
    <r>
      <rPr>
        <sz val="9"/>
        <rFont val="Arial"/>
        <family val="2"/>
      </rPr>
      <t xml:space="preserve"> </t>
    </r>
    <r>
      <rPr>
        <b/>
        <sz val="9"/>
        <rFont val="Arial"/>
        <family val="2"/>
      </rPr>
      <t>/ 1000 litres</t>
    </r>
  </si>
  <si>
    <r>
      <t xml:space="preserve">Disponible / UMO expl. CAP </t>
    </r>
    <r>
      <rPr>
        <b/>
        <sz val="9"/>
        <color indexed="60"/>
        <rFont val="Arial"/>
        <family val="2"/>
      </rPr>
      <t>(a)</t>
    </r>
  </si>
  <si>
    <r>
      <t xml:space="preserve">Disponible / UMO expl. CAP </t>
    </r>
    <r>
      <rPr>
        <b/>
        <sz val="9"/>
        <color indexed="60"/>
        <rFont val="Arial"/>
        <family val="2"/>
      </rPr>
      <t>(b)</t>
    </r>
  </si>
  <si>
    <t xml:space="preserve">Coût de fonctionnement </t>
  </si>
  <si>
    <t>Trésorererie en nb de SMIC annuel par UMO exploitant</t>
  </si>
  <si>
    <t>Rémunération du travail consacré à l'atelier</t>
  </si>
  <si>
    <t>EBE et Disponible de l'exploitation</t>
  </si>
  <si>
    <t>Produit brut / UMO totales</t>
  </si>
  <si>
    <t>Soit, en nb de SMIC annuel par UMO exploitant</t>
  </si>
  <si>
    <t>EBE / Produit brut</t>
  </si>
  <si>
    <t>EBE / UMO exploitant</t>
  </si>
  <si>
    <t>Annuités + FFCT/ Produit brut</t>
  </si>
  <si>
    <t>Disponible / UMO expl.</t>
  </si>
  <si>
    <t xml:space="preserve">(a) Disponible pour les prélèvements privés et l'autofinancement </t>
  </si>
  <si>
    <r>
      <t xml:space="preserve">(b) Disponible pour les prélèvements privés et l'autofinancement </t>
    </r>
    <r>
      <rPr>
        <b/>
        <sz val="9"/>
        <color indexed="60"/>
        <rFont val="Arial"/>
        <family val="2"/>
      </rPr>
      <t xml:space="preserve">SANS aides découplées </t>
    </r>
  </si>
  <si>
    <r>
      <t xml:space="preserve">Introduire ici vos paramètres d'évolution des prix et des volumes </t>
    </r>
    <r>
      <rPr>
        <sz val="9"/>
        <color indexed="60"/>
        <rFont val="Arial"/>
        <family val="2"/>
      </rPr>
      <t>(en % ; sauf pour le prix du lait)</t>
    </r>
  </si>
  <si>
    <t>Décomposition par grands</t>
  </si>
  <si>
    <t>Résultat</t>
  </si>
  <si>
    <t>Evolution</t>
  </si>
  <si>
    <t>Prix</t>
  </si>
  <si>
    <t>Volumes</t>
  </si>
  <si>
    <r>
      <t>postes</t>
    </r>
    <r>
      <rPr>
        <sz val="10"/>
        <color indexed="58"/>
        <rFont val="Arial"/>
        <family val="2"/>
      </rPr>
      <t xml:space="preserve"> [ € / 1000 litres ]</t>
    </r>
  </si>
  <si>
    <r>
      <t xml:space="preserve">Mécanisation </t>
    </r>
    <r>
      <rPr>
        <b/>
        <sz val="10"/>
        <color indexed="16"/>
        <rFont val="Arial"/>
        <family val="2"/>
      </rPr>
      <t>[ hors amort. ]</t>
    </r>
  </si>
  <si>
    <t>Viande et autres pdts</t>
  </si>
  <si>
    <t>Aides</t>
  </si>
  <si>
    <r>
      <t xml:space="preserve">Bâtiments </t>
    </r>
    <r>
      <rPr>
        <b/>
        <sz val="10"/>
        <color indexed="16"/>
        <rFont val="Arial"/>
        <family val="2"/>
      </rPr>
      <t>[ hors amort.]</t>
    </r>
  </si>
  <si>
    <t>Prix du lait et rémunération du travail consacré à l'atelier</t>
  </si>
  <si>
    <t>Fermage (frais réels)</t>
  </si>
  <si>
    <t>Rémunération du travail non salarié</t>
  </si>
  <si>
    <t>EBE et Revenu disponible de l'atelier lait [ €/1000 litres ]</t>
  </si>
  <si>
    <t>Dont achats</t>
  </si>
  <si>
    <t>Aides couplées</t>
  </si>
  <si>
    <t>Charges de struct. hors FF et amort.</t>
  </si>
  <si>
    <t>Aides du 2° Pilier</t>
  </si>
  <si>
    <t>EBE atelier lait</t>
  </si>
  <si>
    <t xml:space="preserve">Aides découplées </t>
  </si>
  <si>
    <r>
      <t xml:space="preserve">Disponible </t>
    </r>
    <r>
      <rPr>
        <sz val="10"/>
        <rFont val="Arial"/>
        <family val="2"/>
      </rPr>
      <t xml:space="preserve">(a) </t>
    </r>
    <r>
      <rPr>
        <b/>
        <sz val="10"/>
        <rFont val="Arial"/>
        <family val="2"/>
      </rPr>
      <t>par 1000 lit.</t>
    </r>
  </si>
  <si>
    <r>
      <t xml:space="preserve">Rémunération réelle du travail non salarié </t>
    </r>
    <r>
      <rPr>
        <b/>
        <sz val="10"/>
        <color indexed="16"/>
        <rFont val="Arial"/>
        <family val="2"/>
      </rPr>
      <t>[ € / 1000 lit ]</t>
    </r>
  </si>
  <si>
    <r>
      <t xml:space="preserve">Soit, en </t>
    </r>
    <r>
      <rPr>
        <b/>
        <sz val="10"/>
        <rFont val="Arial"/>
        <family val="2"/>
      </rPr>
      <t>nombre de SMIC</t>
    </r>
    <r>
      <rPr>
        <sz val="10"/>
        <rFont val="Arial"/>
        <family val="2"/>
      </rPr>
      <t xml:space="preserve"> net annuel par UMO non salariée</t>
    </r>
  </si>
  <si>
    <t>(avec aides découplées + 2° pilier réparties selon les ha)</t>
  </si>
  <si>
    <r>
      <t>Nombre d'</t>
    </r>
    <r>
      <rPr>
        <b/>
        <sz val="10"/>
        <rFont val="Arial"/>
        <family val="2"/>
      </rPr>
      <t xml:space="preserve">UMO totales </t>
    </r>
    <r>
      <rPr>
        <sz val="10"/>
        <rFont val="Arial"/>
        <family val="2"/>
      </rPr>
      <t>consacrées à l'atelier laitier</t>
    </r>
  </si>
  <si>
    <r>
      <t xml:space="preserve">Votre objectif </t>
    </r>
    <r>
      <rPr>
        <sz val="10"/>
        <rFont val="Arial"/>
        <family val="2"/>
      </rPr>
      <t>en nb de SMIC par UMO non salariée</t>
    </r>
  </si>
  <si>
    <t>Lait vendu par UMO affectée à l’atelier                               [ x 1000 litres ]</t>
  </si>
  <si>
    <t>(a) Revenu disponbile pour les prélèvements privés et l'autofinancement de l'atelier lait</t>
  </si>
  <si>
    <t>[ choix Référentiel ]</t>
  </si>
  <si>
    <t>Base du graphique de la feuille "Edition 1"</t>
  </si>
  <si>
    <t>Base du graphique du bas de la feuille "Edition 2"</t>
  </si>
  <si>
    <t>Vos charges</t>
  </si>
  <si>
    <t>Vos produits</t>
  </si>
  <si>
    <t xml:space="preserve">  Votre atelier</t>
  </si>
  <si>
    <t xml:space="preserve">  Référence</t>
  </si>
  <si>
    <t>Charges surfaces</t>
  </si>
  <si>
    <t>Base de graphique histogramme pour feuille "Simulation"</t>
  </si>
  <si>
    <t>Base du graphique de la feuille "Simulation"</t>
  </si>
  <si>
    <t>Calculs intermédiaires pour comparaisons</t>
  </si>
  <si>
    <t>cas-type</t>
  </si>
  <si>
    <t>UMO totaux</t>
  </si>
  <si>
    <t>UMO exploitants</t>
  </si>
  <si>
    <t>Nombre d'UMO exploitant consacrées à l'atelier caprin</t>
  </si>
  <si>
    <t>Nombre d'UMO salariés consacrées à l'atelier caprin</t>
  </si>
  <si>
    <t>Lait vendu par UMO exploitant affectée à l’atelier caprin  [ x 1000 litres ]</t>
  </si>
  <si>
    <r>
      <t xml:space="preserve">Rémunération par UMO exploitant affectée à l’atelier caprin </t>
    </r>
    <r>
      <rPr>
        <sz val="10"/>
        <color indexed="16"/>
        <rFont val="Arial"/>
        <family val="2"/>
      </rPr>
      <t>[ € / an ]</t>
    </r>
  </si>
  <si>
    <t>coeff multiplicateur SMIC+CS</t>
  </si>
  <si>
    <t>SMIC brut</t>
  </si>
  <si>
    <t>Sélection des clés</t>
  </si>
  <si>
    <t>MECA coeff</t>
  </si>
  <si>
    <t>BAT coeff</t>
  </si>
  <si>
    <t>FGE coeff</t>
  </si>
  <si>
    <t>CAP coeff</t>
  </si>
  <si>
    <t>MO coeff</t>
  </si>
  <si>
    <t>Pour liste menu déroulant (saisie C11)</t>
  </si>
  <si>
    <t>Plaine</t>
  </si>
  <si>
    <t>Montagne</t>
  </si>
  <si>
    <t>Tirage des paramètres de la campagne</t>
  </si>
  <si>
    <t>Année de validité des paramètres</t>
  </si>
  <si>
    <t>Intérêt capital propre</t>
  </si>
  <si>
    <t>SMIC annuel net</t>
  </si>
  <si>
    <t>Multiplicateur SMIC brut</t>
  </si>
  <si>
    <t>Plafond pour fermage en propriété</t>
  </si>
  <si>
    <t>Calcul des UMO CAP exploitant</t>
  </si>
  <si>
    <t>des UMOns</t>
  </si>
  <si>
    <t>des UMOs</t>
  </si>
  <si>
    <t>% CVintraCAP</t>
  </si>
  <si>
    <t>Stockage des données</t>
  </si>
  <si>
    <t>Cette feuille sert à stocker les données à l'état brut pour faciliter un éventuel recalcul.</t>
  </si>
  <si>
    <t>Copier ici la colonne C de l'onglet saisie</t>
  </si>
  <si>
    <t>Plaine/Montagne</t>
  </si>
  <si>
    <t xml:space="preserve">Autres aides non affectables </t>
  </si>
  <si>
    <t>AIDNONA</t>
  </si>
  <si>
    <t>Capitalisation des données</t>
  </si>
  <si>
    <r>
      <t xml:space="preserve">Cette feuille récupère automatiquement en </t>
    </r>
    <r>
      <rPr>
        <b/>
        <sz val="9"/>
        <color indexed="60"/>
        <rFont val="Arial"/>
        <family val="2"/>
      </rPr>
      <t>colonne B</t>
    </r>
    <r>
      <rPr>
        <sz val="9"/>
        <color indexed="60"/>
        <rFont val="Arial"/>
        <family val="2"/>
      </rPr>
      <t xml:space="preserve"> les données de l'exploitation étudiée : données introduites dans le feuille "Saisie"  '+ données calculées en sortie dans les feuilles "Edition 1" ou "Edition 2". Avant de passer à une autre exploitation, pensez à faire un copier / collage spécial / valeurs de la colonne B vers une colonne libre située à droite de la colonne D.</t>
    </r>
  </si>
  <si>
    <t>NB : Les lignes 9 et 10 sont facultatives (à remplir une fois le collage / valeur effectué).</t>
  </si>
  <si>
    <r>
      <t xml:space="preserve">TRES UTILE : </t>
    </r>
    <r>
      <rPr>
        <b/>
        <sz val="9"/>
        <color indexed="60"/>
        <rFont val="Arial"/>
        <family val="2"/>
      </rPr>
      <t>si vous avez traité le cas d'un cas-type, vous pouvez copier la zone verte (lignes 190 à 255) et en faire un copier/collage spécial/valeur dans la feuille "Référentiel".</t>
    </r>
  </si>
  <si>
    <t>Nom</t>
  </si>
  <si>
    <t>Libellé de la variable</t>
  </si>
  <si>
    <t>SYST</t>
  </si>
  <si>
    <t>Cas type ou Système</t>
  </si>
  <si>
    <t>COMMENT</t>
  </si>
  <si>
    <t>Commentaires (pour mémoire)</t>
  </si>
  <si>
    <t>Reprise des données de la feuille "Saisie"</t>
  </si>
  <si>
    <t>CAPSYS</t>
  </si>
  <si>
    <t>Type d'atelier CAP</t>
  </si>
  <si>
    <t>BLSYS</t>
  </si>
  <si>
    <t>Type d'atelier BV</t>
  </si>
  <si>
    <t>BVSYS</t>
  </si>
  <si>
    <t>Type d'atelier BL</t>
  </si>
  <si>
    <t>OVSYS</t>
  </si>
  <si>
    <t>Type d'atelier OV</t>
  </si>
  <si>
    <t>OLSYS</t>
  </si>
  <si>
    <t>Type d'atelier OL</t>
  </si>
  <si>
    <t>EQSYS</t>
  </si>
  <si>
    <t>Type d'atelier Eq</t>
  </si>
  <si>
    <t>GCUSYS</t>
  </si>
  <si>
    <t>Type de zone (plaine/montagne)</t>
  </si>
  <si>
    <t>NUMEXP</t>
  </si>
  <si>
    <t>umo</t>
  </si>
  <si>
    <t>dont CF utilisé par troupeau le CAP</t>
  </si>
  <si>
    <t>Produit viande ventes atelier CAP</t>
  </si>
  <si>
    <t>Achat animaux atelier caprin</t>
  </si>
  <si>
    <t>Aides couplées atelier CAP</t>
  </si>
  <si>
    <t>Autres aides atelier CAP</t>
  </si>
  <si>
    <t>FELCAP</t>
  </si>
  <si>
    <t>Capitaux propres</t>
  </si>
  <si>
    <t>Autres données complémentaires facultatives</t>
  </si>
  <si>
    <t>REMBLTMT</t>
  </si>
  <si>
    <t>AMOFONC</t>
  </si>
  <si>
    <t>PRODFIN</t>
  </si>
  <si>
    <t>Résultats en sortie de COUPROD</t>
  </si>
  <si>
    <t>CPCAP</t>
  </si>
  <si>
    <t>Coût de production total de l'atelier CAP</t>
  </si>
  <si>
    <t xml:space="preserve"> € / 1000 l</t>
  </si>
  <si>
    <t>CPTCHCO</t>
  </si>
  <si>
    <t>Total Charges courantes</t>
  </si>
  <si>
    <t>CPSTALI</t>
  </si>
  <si>
    <t>s/total Approvisionnement des animaux</t>
  </si>
  <si>
    <t>CPCONC</t>
  </si>
  <si>
    <t>CPFOUR</t>
  </si>
  <si>
    <t>CPSTAPS</t>
  </si>
  <si>
    <t>s/total Approvisionnement des surfaces</t>
  </si>
  <si>
    <t>CPENG</t>
  </si>
  <si>
    <t>CPSEM</t>
  </si>
  <si>
    <t>CPACHVEG</t>
  </si>
  <si>
    <t>CPSTFEL</t>
  </si>
  <si>
    <t>s/total Frais d'élevage</t>
  </si>
  <si>
    <t>CPVETO</t>
  </si>
  <si>
    <t>CPAFEL</t>
  </si>
  <si>
    <t>CPTRANSCOM</t>
  </si>
  <si>
    <t>s/total Transfo et commercialisation</t>
  </si>
  <si>
    <t>CPTRANS</t>
  </si>
  <si>
    <t>CPCOM</t>
  </si>
  <si>
    <t>CPSTMECA</t>
  </si>
  <si>
    <t>s/total Mécanisation hors amortissements</t>
  </si>
  <si>
    <t>CPTPT</t>
  </si>
  <si>
    <t>CPCAR</t>
  </si>
  <si>
    <t>CPENTMAT</t>
  </si>
  <si>
    <t>CPPETMAT</t>
  </si>
  <si>
    <t>CPSTBAT</t>
  </si>
  <si>
    <t>s/total Bâtiments hors amortissements</t>
  </si>
  <si>
    <t>CPEAU</t>
  </si>
  <si>
    <t>CPELGAZ</t>
  </si>
  <si>
    <t>CPENTBAT</t>
  </si>
  <si>
    <t>CPSTFGE</t>
  </si>
  <si>
    <t>s/total Frais généraux</t>
  </si>
  <si>
    <t>CPGEST</t>
  </si>
  <si>
    <t>CPFERM</t>
  </si>
  <si>
    <t>CPSAL</t>
  </si>
  <si>
    <t>CPFFI</t>
  </si>
  <si>
    <t>CPTAMO</t>
  </si>
  <si>
    <t>Total Amortissements</t>
  </si>
  <si>
    <t>CPAMOMAT</t>
  </si>
  <si>
    <t>Ammortissement Matériel</t>
  </si>
  <si>
    <t>CPAMOBAT</t>
  </si>
  <si>
    <t>Ammortissement Bâtiments</t>
  </si>
  <si>
    <t>CPTCHSUP</t>
  </si>
  <si>
    <t>Total Charges supplétives</t>
  </si>
  <si>
    <t>CPTERRE</t>
  </si>
  <si>
    <t>CPCAPIT</t>
  </si>
  <si>
    <t>CPTRAV</t>
  </si>
  <si>
    <t>CPMSA</t>
  </si>
  <si>
    <t>PRODCAP</t>
  </si>
  <si>
    <t>Total Produit de l'atelier CAP</t>
  </si>
  <si>
    <t>PRLAIT</t>
  </si>
  <si>
    <t>PRVIANDE</t>
  </si>
  <si>
    <t>Viande et autres produits de l'atelier CAP</t>
  </si>
  <si>
    <t>PRSTANI</t>
  </si>
  <si>
    <t>Dont achat d'animaux (en -)</t>
  </si>
  <si>
    <t>PRAIDCOU</t>
  </si>
  <si>
    <t>PRAID2P</t>
  </si>
  <si>
    <t>PRAIDEC</t>
  </si>
  <si>
    <t>RMWCAP1</t>
  </si>
  <si>
    <t>Rémunération réelle du travail CAP exploitant</t>
  </si>
  <si>
    <t>RMWCAP2</t>
  </si>
  <si>
    <t>Smic / umo</t>
  </si>
  <si>
    <t>UMOTotCAP</t>
  </si>
  <si>
    <t>UMO exploitants + salariés affectés à l'atelier CAP</t>
  </si>
  <si>
    <t>UMOExpCAP</t>
  </si>
  <si>
    <t>UMO exploitants affectés à l'atelier CAP</t>
  </si>
  <si>
    <t>PLUMOTotCAP</t>
  </si>
  <si>
    <t xml:space="preserve">Lait vendu par UMO exploitant + salarié affectés à l'atelier CAP </t>
  </si>
  <si>
    <t>PLUMOExpCAP</t>
  </si>
  <si>
    <t xml:space="preserve">Lait vendu par UMO exploitant affectés à l'atelier CAP </t>
  </si>
  <si>
    <t>KITZERO</t>
  </si>
  <si>
    <t>Kit PR / Prix pour 0 SMIC par UMO expl hors aides découplées et 2° pilier</t>
  </si>
  <si>
    <t>KIT1SMIC</t>
  </si>
  <si>
    <t>Kit PR / Rémunération de la MO exploitant par tranche de 1 SMIC</t>
  </si>
  <si>
    <t>KITAIDEHA</t>
  </si>
  <si>
    <t>Kit PR / Aides découplées + 2° pilier avec répartition par ha de SAU</t>
  </si>
  <si>
    <t>KITAIDEMO</t>
  </si>
  <si>
    <t>Kit PR / Aides découplées + 2° pilier avec répartition par UMO</t>
  </si>
  <si>
    <t>PR1,5ZERO</t>
  </si>
  <si>
    <t>Prix de revient 1.5 SMIC hors aides découpl et 2eme pilier</t>
  </si>
  <si>
    <t>PR1,5AIDEHA</t>
  </si>
  <si>
    <t>Prix pour 1.5 SMIC avec aides découpl et 2eme pilier réparties base HA</t>
  </si>
  <si>
    <t>PR1,5AIDEMO</t>
  </si>
  <si>
    <t>Prix pour 1.5 SMIC avec aides découpl et 2eme pilier réparties base UMO</t>
  </si>
  <si>
    <t>BTKCHARGE</t>
  </si>
  <si>
    <t>Bloc technique / Total postes de charges</t>
  </si>
  <si>
    <t>BTKTRAVAIL</t>
  </si>
  <si>
    <t>Bloc technique / Travail</t>
  </si>
  <si>
    <t>BTKCAPITAL</t>
  </si>
  <si>
    <t>Bloc technique / Capital</t>
  </si>
  <si>
    <t>BTKBAT</t>
  </si>
  <si>
    <t>Bloc technique / Bâtiments</t>
  </si>
  <si>
    <t>BTKMECA</t>
  </si>
  <si>
    <t>Bloc technique / Mécanisation</t>
  </si>
  <si>
    <t>BTKAUTCH</t>
  </si>
  <si>
    <t>Bloc technique / Autres ch. courantes</t>
  </si>
  <si>
    <t>BTKALIM</t>
  </si>
  <si>
    <t>Bloc technique / Alimentation</t>
  </si>
  <si>
    <t>BTKPRODUIT</t>
  </si>
  <si>
    <t>Bloc technique / Total postes de produits</t>
  </si>
  <si>
    <t>BTKVIANDE</t>
  </si>
  <si>
    <t>Bloc technique / Viande et autres</t>
  </si>
  <si>
    <t>BTKAIDES</t>
  </si>
  <si>
    <t>Bloc technique / Aides totales</t>
  </si>
  <si>
    <t>BTKLAIT</t>
  </si>
  <si>
    <t>Bloc technique / Lait commercialisé</t>
  </si>
  <si>
    <t>BCAPRODUIT</t>
  </si>
  <si>
    <t>Bloc cpta Atelier / Produit de l'atelier CAP</t>
  </si>
  <si>
    <t>BCACHOP</t>
  </si>
  <si>
    <t>Bloc cpta Atelier / Charges opérationnelles</t>
  </si>
  <si>
    <t>BCACHSTRU</t>
  </si>
  <si>
    <t xml:space="preserve">Bloc cpta Atelier / Charges structurelles </t>
  </si>
  <si>
    <t>BCAEBE</t>
  </si>
  <si>
    <t>Bloc cpta Atelier / EBE atelier CAP</t>
  </si>
  <si>
    <t>BCANNUITES</t>
  </si>
  <si>
    <t>Bloc cpta Atelier / Annuités affectées à l'atelier CAP</t>
  </si>
  <si>
    <t>BCADISPO1</t>
  </si>
  <si>
    <t>Bloc cpta Atelier / Disponible pour 1000 litres</t>
  </si>
  <si>
    <t>BCADISPO2</t>
  </si>
  <si>
    <t>Bloc cpta Atelier / Dispo par UMO expl. BL hors aides découplées</t>
  </si>
  <si>
    <t xml:space="preserve"> € / umo expl BL</t>
  </si>
  <si>
    <t>BCADISPO3</t>
  </si>
  <si>
    <t>Bloc cpta Atelier / Dispo par UMO expl BL avec aides dec. réparties à l'Ha</t>
  </si>
  <si>
    <t>BCEPBUMOT</t>
  </si>
  <si>
    <t>Bloc cpta exploitation / Produit brut par UMO totales</t>
  </si>
  <si>
    <t xml:space="preserve"> € / umo tot</t>
  </si>
  <si>
    <t>BCEEBEPB</t>
  </si>
  <si>
    <t>Bloc cpta exploitation / EBE sur Produit brut</t>
  </si>
  <si>
    <t>BCEEBEUMOE</t>
  </si>
  <si>
    <t>Bloc cpta exploitation / EBE par UMO exploitant</t>
  </si>
  <si>
    <t xml:space="preserve"> € / umo expl</t>
  </si>
  <si>
    <t>BCEANNUITES</t>
  </si>
  <si>
    <t>Bloc cpta exploitation / Annuités sur Produit brut</t>
  </si>
  <si>
    <t>BCEDISPO1</t>
  </si>
  <si>
    <t>Bloc cpta exploitation / Dispo par UMO expl. hors aides découplées</t>
  </si>
  <si>
    <t>BCEDISPO2</t>
  </si>
  <si>
    <t>Bloc cpta exploitation / Dispo par UMO expl. avec aides découplées</t>
  </si>
  <si>
    <t>BCEDISPO3</t>
  </si>
  <si>
    <t>Bloc cpta exploitation / Aides découplées et 2ème pilier par UMO expl</t>
  </si>
  <si>
    <t>Zone à copier pour alimenter la feuille "Référentiel"</t>
  </si>
  <si>
    <t>MSA affectable à l'atelier CAP (pour info)</t>
  </si>
  <si>
    <t>UMOTCAP</t>
  </si>
  <si>
    <t>Total UMO CAP exploitants + salariés</t>
  </si>
  <si>
    <t>PLUMOCAP</t>
  </si>
  <si>
    <t xml:space="preserve">Lait vendu par UMO CAP </t>
  </si>
  <si>
    <t>NBSMICUMO</t>
  </si>
  <si>
    <t>Nombre SMIC par UMO</t>
  </si>
  <si>
    <t>SMIC</t>
  </si>
  <si>
    <t>Bloc cpta exploitation / Dispo par UMO expl. savec aides découplées</t>
  </si>
  <si>
    <t>Bloc cpta exploitation / Dispo par UMO expl.sans aides découplées</t>
  </si>
  <si>
    <t>UMO Exploitants</t>
  </si>
  <si>
    <t>UMO salariés</t>
  </si>
  <si>
    <t xml:space="preserve">Référentiel Coût de production </t>
  </si>
  <si>
    <t>Nom du cas-type</t>
  </si>
  <si>
    <t>Fromager DIAPASON  2013</t>
  </si>
  <si>
    <t>Fromager DIAPASON  Estimé 2014</t>
  </si>
  <si>
    <t>LAITIER  pâturage DIAPASON 2013</t>
  </si>
  <si>
    <t>LAITIER  pâturage DIAPASON Estimé 2014</t>
  </si>
  <si>
    <t>LAITIER 0 PAT DIAPASON 2013</t>
  </si>
  <si>
    <t>LAITIER 0 PAT DIAPASON Estimé 2014</t>
  </si>
  <si>
    <t>CAP FROM SPE PATURAGE 2014</t>
  </si>
  <si>
    <t>LIVREUR SPE 0 PAT        SAISON 2014</t>
  </si>
  <si>
    <t>LIVREUR SPE 0 PAT        DESAISONNE 2014</t>
  </si>
  <si>
    <t>Numéro du cas-type</t>
  </si>
  <si>
    <t>DIAPASON</t>
  </si>
  <si>
    <t xml:space="preserve">Estimé DIAP </t>
  </si>
  <si>
    <t>Estimé DIAP</t>
  </si>
  <si>
    <t>Cas type</t>
  </si>
  <si>
    <t>Coût de production total de l'atelier</t>
  </si>
  <si>
    <t>Approvisionnement des animaux</t>
  </si>
  <si>
    <t>Frais de transfo</t>
  </si>
  <si>
    <t>Mécanisation hors amortissements</t>
  </si>
  <si>
    <t>Bâtiments hors amortissements</t>
  </si>
  <si>
    <t>Amortissement Matériel</t>
  </si>
  <si>
    <t>Amortissement Bâtiments</t>
  </si>
  <si>
    <t>Total Produit de l'atelier</t>
  </si>
  <si>
    <t>dont Achat d'animaux (en -)</t>
  </si>
  <si>
    <t>Nb SMIC par UMO</t>
  </si>
  <si>
    <t>Bloc EBE et Disponible ATELIER</t>
  </si>
  <si>
    <t>Bloc cpta Atelier / Produit de l'atelier lait</t>
  </si>
  <si>
    <t>Bloc cpta Atelier / EBE atelier lait</t>
  </si>
  <si>
    <t>Bloc cpta Atelier / Annuités affectées à l'atelier</t>
  </si>
  <si>
    <t>Bloc EBE et Disponible exploitation</t>
  </si>
  <si>
    <t>Bloc cpta expl / Produit brut par UMO totales</t>
  </si>
  <si>
    <t>Bloc cpta expl / EBE sur Produit brut</t>
  </si>
  <si>
    <t>Bloc cpta expl / EBE par UMO exploitant</t>
  </si>
  <si>
    <t>Bloc cpta expl / Annuités sur Produit brut</t>
  </si>
  <si>
    <t>Bloc cpta expl / Dispo par UMO expl. avec aides découplées</t>
  </si>
  <si>
    <t>Bloc cpta expl / Dispo par UMO expl. sans aides découplées</t>
  </si>
  <si>
    <t>UMO Salariés</t>
  </si>
  <si>
    <t>Matrice des clés de répartition des charges non affectées</t>
  </si>
  <si>
    <t>Cette feuille présente les clés de répartion des charges utilisées dans l'outil à compter de la version du 18/02/2010.</t>
  </si>
  <si>
    <t xml:space="preserve">Ces nouvelles clés sont issues des traitements statistiques réalisés avec l'aide du service Biométrie de l'Institut de </t>
  </si>
  <si>
    <t>l'Elevage à partir des données 2007 et 2008 de plus de 1300 exploitations de la base de données Diapason.</t>
  </si>
  <si>
    <r>
      <t xml:space="preserve">Elles ont été validées par le groupe inter-filière de l'Institut sur les coûts de production. </t>
    </r>
    <r>
      <rPr>
        <b/>
        <sz val="10"/>
        <color indexed="16"/>
        <rFont val="Arial"/>
        <family val="2"/>
      </rPr>
      <t>Ces clés ne sont plus paramétrables par les utilisateurs.</t>
    </r>
  </si>
  <si>
    <t>Types d'ateliers</t>
  </si>
  <si>
    <t>ALI</t>
  </si>
  <si>
    <t>APS</t>
  </si>
  <si>
    <t>FEL</t>
  </si>
  <si>
    <t>MECA</t>
  </si>
  <si>
    <t>BAT</t>
  </si>
  <si>
    <t>FGE</t>
  </si>
  <si>
    <t>MO</t>
  </si>
  <si>
    <t>Définition</t>
  </si>
  <si>
    <t>€/UGB                  ou ha</t>
  </si>
  <si>
    <t>UMO / 100 ha ou 100 UGB</t>
  </si>
  <si>
    <t>BL plaine</t>
  </si>
  <si>
    <t>hors zones administratives piedmont et montagne</t>
  </si>
  <si>
    <t>BL montagne</t>
  </si>
  <si>
    <t>zones administratives piedmont et montagne</t>
  </si>
  <si>
    <t>BL transformation</t>
  </si>
  <si>
    <t>présence d'un atelier de transformation</t>
  </si>
  <si>
    <t>BL avec robot</t>
  </si>
  <si>
    <t>présence d'un robot de traite</t>
  </si>
  <si>
    <t>BV naisseur plaine</t>
  </si>
  <si>
    <t>mâles maigres hors piedmont et montagne</t>
  </si>
  <si>
    <t>BV naisseur montagne</t>
  </si>
  <si>
    <t>mâles maigres en piémont ou montagne</t>
  </si>
  <si>
    <t>BV NE de plaine</t>
  </si>
  <si>
    <t>mâles finis hors piémont et montagne</t>
  </si>
  <si>
    <t>BV NE de montagne</t>
  </si>
  <si>
    <t>mâles finis en piedmont ou montagne</t>
  </si>
  <si>
    <t>BV JB à partir de veaux laitiers</t>
  </si>
  <si>
    <t>engraisseur de taurillons à partir de veaux laitiers</t>
  </si>
  <si>
    <t>BV JB à partir de broutards</t>
  </si>
  <si>
    <t>engraisseur de taurillons à partir de broutards</t>
  </si>
  <si>
    <t>BV Bœufs ou génisses de boucherie à partir de veaux laitiers</t>
  </si>
  <si>
    <t>engraisseurs de bœufs ou génisses</t>
  </si>
  <si>
    <t>OV fourragers</t>
  </si>
  <si>
    <t>&gt; 1.4 UGB/ha SFP, Pas de parcours (&lt;10 ha individuels)</t>
  </si>
  <si>
    <t>OV herbagers</t>
  </si>
  <si>
    <t>&lt; 1.4 UGB/ha SFP, Pas de parcours (&lt;10 ha individuels)</t>
  </si>
  <si>
    <t>OV pastoraux mineurs</t>
  </si>
  <si>
    <t>Parcours individuels (&gt;10 ha) ou collectifs, &lt; 2.5 UGB/ha SFP</t>
  </si>
  <si>
    <t>OV pastoraux majeurs</t>
  </si>
  <si>
    <t>Parcours individuels (&gt;10 ha) ou collectifs, &gt; 2.5 UGB/ha SFP</t>
  </si>
  <si>
    <t>OL livreurs</t>
  </si>
  <si>
    <t>pas d'atelier de transformation</t>
  </si>
  <si>
    <t>OL fromagers fermiers</t>
  </si>
  <si>
    <t>présence d'un atelier de transforamtion à la ferme</t>
  </si>
  <si>
    <t>Caprins plaine</t>
  </si>
  <si>
    <t xml:space="preserve">sans atelier de transformation, hors piedmont et montagne </t>
  </si>
  <si>
    <t>Caprins montagne</t>
  </si>
  <si>
    <t xml:space="preserve">sans atelier de transformation, en piedmont ou montagne </t>
  </si>
  <si>
    <t>Caprins avec transformation</t>
  </si>
  <si>
    <t>Chevaux de trait</t>
  </si>
  <si>
    <t>Autres équidés</t>
  </si>
  <si>
    <t>GCU Plaine</t>
  </si>
  <si>
    <t>GCU Montagne</t>
  </si>
  <si>
    <t>Maïs Plaine</t>
  </si>
  <si>
    <t>Maïs Montagne</t>
  </si>
  <si>
    <r>
      <t xml:space="preserve">Source </t>
    </r>
    <r>
      <rPr>
        <b/>
        <sz val="10"/>
        <rFont val="Arial"/>
        <family val="2"/>
      </rPr>
      <t>ALI</t>
    </r>
    <r>
      <rPr>
        <sz val="10"/>
        <rFont val="Arial"/>
        <family val="2"/>
      </rPr>
      <t xml:space="preserve"> : Rapport Etude CNIEL/Office de l'Elevage - Jean-Luc Reuillon - novembre 2008</t>
    </r>
  </si>
  <si>
    <r>
      <t xml:space="preserve">Source </t>
    </r>
    <r>
      <rPr>
        <b/>
        <sz val="10"/>
        <rFont val="Arial"/>
        <family val="2"/>
      </rPr>
      <t>APS</t>
    </r>
    <r>
      <rPr>
        <sz val="10"/>
        <rFont val="Arial"/>
        <family val="2"/>
      </rPr>
      <t xml:space="preserve"> : Rapport Etude CNIEL/Office de l'Elevage - Jean-Luc Reuillon - novembre 2008</t>
    </r>
  </si>
  <si>
    <r>
      <t xml:space="preserve">Source </t>
    </r>
    <r>
      <rPr>
        <b/>
        <sz val="10"/>
        <rFont val="Arial"/>
        <family val="2"/>
      </rPr>
      <t>FEL</t>
    </r>
    <r>
      <rPr>
        <sz val="10"/>
        <rFont val="Arial"/>
        <family val="2"/>
      </rPr>
      <t xml:space="preserve"> : Rapport Etude CNIEL/Office de l'Elevage - Jean-Luc Reuillon - novembre 2008</t>
    </r>
  </si>
  <si>
    <r>
      <t xml:space="preserve">Source </t>
    </r>
    <r>
      <rPr>
        <b/>
        <sz val="10"/>
        <rFont val="Arial"/>
        <family val="2"/>
      </rPr>
      <t>MECA</t>
    </r>
    <r>
      <rPr>
        <sz val="10"/>
        <rFont val="Arial"/>
        <family val="2"/>
      </rPr>
      <t xml:space="preserve"> : Traitement base diapason 2007 toutes filières - Thierry Charroin / Marion Ferrand - février 2010</t>
    </r>
  </si>
  <si>
    <r>
      <t xml:space="preserve">Source </t>
    </r>
    <r>
      <rPr>
        <b/>
        <sz val="10"/>
        <rFont val="Arial"/>
        <family val="2"/>
      </rPr>
      <t>BAT</t>
    </r>
    <r>
      <rPr>
        <sz val="10"/>
        <rFont val="Arial"/>
        <family val="2"/>
      </rPr>
      <t xml:space="preserve"> : Traitement base diapason 2007 toutes filières - Thierry Charroin / Marion Ferrand - février 2010</t>
    </r>
  </si>
  <si>
    <r>
      <t xml:space="preserve">Source </t>
    </r>
    <r>
      <rPr>
        <b/>
        <sz val="10"/>
        <rFont val="Arial"/>
        <family val="2"/>
      </rPr>
      <t>FGE</t>
    </r>
    <r>
      <rPr>
        <sz val="10"/>
        <rFont val="Arial"/>
        <family val="2"/>
      </rPr>
      <t xml:space="preserve"> : Traitement base diapason 2008 toutes filières - Thierry Charroin / Marion Ferrand - février 2010</t>
    </r>
  </si>
  <si>
    <r>
      <t xml:space="preserve">Source </t>
    </r>
    <r>
      <rPr>
        <b/>
        <sz val="10"/>
        <rFont val="Arial"/>
        <family val="2"/>
      </rPr>
      <t>CAP</t>
    </r>
    <r>
      <rPr>
        <sz val="10"/>
        <rFont val="Arial"/>
        <family val="2"/>
      </rPr>
      <t xml:space="preserve"> : Traitement base diapason 2007 toutes filières - Thierry Charroin / Marion Ferrand - février 2010</t>
    </r>
  </si>
  <si>
    <r>
      <t xml:space="preserve">Source </t>
    </r>
    <r>
      <rPr>
        <b/>
        <sz val="10"/>
        <rFont val="Arial"/>
        <family val="2"/>
      </rPr>
      <t>MO</t>
    </r>
    <r>
      <rPr>
        <sz val="10"/>
        <rFont val="Arial"/>
        <family val="2"/>
      </rPr>
      <t xml:space="preserve"> : Traitement base diapason 2007 toutes filières - Thierry Charroin / Marion Ferrand - février 2010</t>
    </r>
  </si>
  <si>
    <t>Regroupements des charges et des produits</t>
  </si>
  <si>
    <t>Vous trouverez ci-dessous les règles de regroupement utilisées pour la décompostion du coût de production.</t>
  </si>
  <si>
    <t>Sont exclus les charges et produits des ateliers hors-sol, des cultures pérennes ou spéciales et des activités non agricoles (tourisme, entreprise,…)</t>
  </si>
  <si>
    <t>Code</t>
  </si>
  <si>
    <t>Poste</t>
  </si>
  <si>
    <t>Détail des éléments pris en compte</t>
  </si>
  <si>
    <t>Charges courantes opérationnelles</t>
  </si>
  <si>
    <t>Concentrés et minéraux achetés,  fourrages achetés (sans les céréales intra-consommées), frais de mise en pension.</t>
  </si>
  <si>
    <t>Semences, phytos, engrais et eau d'irrigation des surfaces fourragères. Idem pour les cultures pour permettre la prise en compte du coût de production des cultures intra-consommées.</t>
  </si>
  <si>
    <t>Frais vétérinaires (honoraires et produits), contrôle de performance, frais de reproduction, frais divers d'élevage, achat de litière, location d'animaux, assurance pour les animaux, taxes animales, frais de transformation, frais de commercialisation, poudre de lait, pénalités.</t>
  </si>
  <si>
    <t>ANI</t>
  </si>
  <si>
    <t>Achats d'animaux</t>
  </si>
  <si>
    <t>Montant des achats d'animaux</t>
  </si>
  <si>
    <t>Charges courantes structurelles</t>
  </si>
  <si>
    <t>Carburants et lubrifiants, travaux par tiers, entretien du matériel, petit matériel, crédit bail.</t>
  </si>
  <si>
    <t>Bâtiment et installations</t>
  </si>
  <si>
    <t xml:space="preserve">Entretien des bâtiments, eau, gaz, électricité, combustible servant au chauffage ou à la production d'énergie, loyer du matériel (tank à lait, ...) </t>
  </si>
  <si>
    <t>FDG</t>
  </si>
  <si>
    <t>FONC</t>
  </si>
  <si>
    <t>Fermages payés, entretien du foncier, amortissement des améliorations foncières, locations précaires, impôts fonciers non liés aux terres en propriété</t>
  </si>
  <si>
    <t>MOS</t>
  </si>
  <si>
    <t>FIN</t>
  </si>
  <si>
    <t>Amortissements comptables pour le moment, ou éventuellement recalculées.</t>
  </si>
  <si>
    <t>Batiments et installations</t>
  </si>
  <si>
    <t>FOP</t>
  </si>
  <si>
    <t>Foncier en propriété</t>
  </si>
  <si>
    <t>"Fermages" calculés sur les terres en propriété</t>
  </si>
  <si>
    <t>MONS</t>
  </si>
  <si>
    <t>Travail non salarié</t>
  </si>
  <si>
    <t>Main d'œuvre non salariée de l'exploitation (hors main d'œuvre bénévole). La MSA n'est plus considérée dans le calcul depuis que ce dernier se fait su la base du SMIC brut (cf version du 1er mars 2010)</t>
  </si>
  <si>
    <t>Produits</t>
  </si>
  <si>
    <t>LAIT</t>
  </si>
  <si>
    <t>Lait</t>
  </si>
  <si>
    <t>Lait brut commercialisé (x 1000 litres)</t>
  </si>
  <si>
    <t>PVBL</t>
  </si>
  <si>
    <t>Produit viande de l'atelier</t>
  </si>
  <si>
    <t>Chevrettes, chèvres et boucs (vendues ou autoconsommées, réformes comprises), chevreaux vendus, le tout ajusté des variations d'inventaire</t>
  </si>
  <si>
    <t>Autres produits de l'atelier</t>
  </si>
  <si>
    <t>exemple : produits financiers.</t>
  </si>
  <si>
    <t>AC</t>
  </si>
  <si>
    <t>Prime à la chèvre, aides SCOP des surfaces fourragères, autres aides couplées.</t>
  </si>
  <si>
    <t>ADP2</t>
  </si>
  <si>
    <t>Aides du 2eme pilier</t>
  </si>
  <si>
    <t>PHAE, autres aides du deuxième pilier (ISM, primes environnementales, …) et aides conjoncturelles</t>
  </si>
  <si>
    <t>Aides découplées</t>
  </si>
  <si>
    <t>DPU</t>
  </si>
  <si>
    <t>Autres regroupements proposés pour une lecture plus technique</t>
  </si>
  <si>
    <t>Alimentation</t>
  </si>
  <si>
    <t>Achats d'aliments + Charges des surfaces consacrées à l'alimentation des animaux laitiers</t>
  </si>
  <si>
    <t>Autres charges courantes</t>
  </si>
  <si>
    <t>Frais d'élevage + Achats d'animaux + Autres frais généraux</t>
  </si>
  <si>
    <t>Coût des charges courantes de mécanisation + amortissement mécanisation</t>
  </si>
  <si>
    <t>Coût des charges courantes des bâtiments et installations + amortissements bâtiments et installations.</t>
  </si>
  <si>
    <t>Fermages + rémunération des capitaux et du foncier en propriété</t>
  </si>
  <si>
    <t>Salaires + CS Salariales + rémunération de la main d'œuvre des exploitants</t>
  </si>
  <si>
    <t>Notes méthodologiques</t>
  </si>
  <si>
    <t>Dans cette feuille vous trouverez un certain nombre de précisions ou d'explications d'ordre méthodologique. La liste est encore très incomplète, mais elle s'enrichira au fil des versions. Les informations sont classées dans l'ordre des ligne de la feuille "Calcul", avec référence éventuelle à la cellule de la feuille "Calcul" à laquelle elles se rapportent.</t>
  </si>
  <si>
    <t>Objet / question</t>
  </si>
  <si>
    <t>précisions / réponse</t>
  </si>
  <si>
    <t xml:space="preserve">Lait vendu laiterie + lait cédé à un autre atelier </t>
  </si>
  <si>
    <t>Vente ou autoconsommation de chevrettes, chèvres et boucs (réformes comprises), vente de chevreaux, le tout ajusté des variations d'inventaires.</t>
  </si>
  <si>
    <t>Comment sont réparties les DPU ?</t>
  </si>
  <si>
    <t>La répartition est faite pour l'instant au pro-rata de la SAU mobilisée par chaque atelier.</t>
  </si>
  <si>
    <t>Comment est répartie la PHAE ?</t>
  </si>
  <si>
    <t>La répartition est faite au pro-rata des surfaces en herbe utilisée par les différents ateliers.</t>
  </si>
  <si>
    <t>Comment sont réparties les autres aides du 2eme pilier ?</t>
  </si>
  <si>
    <t>La répartition est faite au pro-rata des UGB de chaque atelier.</t>
  </si>
  <si>
    <t>Les impôts fonciers ne sont pas pris en compte ici, car le coût d'opportunité affecté aux terres en propriété est supposé couvrir cette charge. Si une partie de cet impôt n'est pas lié à des terres en propriété, alors il est à rajouter au poste "fermage (frais réels),</t>
  </si>
  <si>
    <t>Les intérêts des emprunts pour achat de foncier ne sont pas pris en compte ici, car le coût d'opportunité affecté aux terres en propriété est supposé couvrir cette charge.</t>
  </si>
  <si>
    <t>Que vient faire l'EBE dans le calcul du coût de production ?</t>
  </si>
  <si>
    <t>Sa reconstitution permet de vérifier que toutes les charges et produits ont bien été prises en compte. Noter qu'il s'agit d'un EBE hors activités exclues (hors-sol, cultures pérennes &amp; spéciales, activités non strictement agricoles comme le tourisme à la ferme, ...),</t>
  </si>
  <si>
    <t>Que viennent faire les impôts fonciers dans le calcul du coût de production ?</t>
  </si>
  <si>
    <t>Rien, sauf s'il s'agit d'impôts fonciers non liés à des terres en propriété. On a juste besoin de les avoir pour recalculer l'EBE (cf question ci-dessus).</t>
  </si>
  <si>
    <t>Peut-on remplacer les amortissements par les remboursement d'emprunt ?</t>
  </si>
  <si>
    <t>Il peut être interessant de calculer le coût de production en comptant à la place des amortissements comptables des investissements, le capital d'emprunt annuel remboursé. Ce coût sera alors plus proche de la trésorerie annuelle de l'exploitation.</t>
  </si>
  <si>
    <t>Rémunération réelle du travail non salarié ?</t>
  </si>
  <si>
    <t>C'est la rémunération du travail non salarié qui équilibre produits et coûts. Le calcul est = Produits - charges hors rémunération forfaitaire du travail non salarié.</t>
  </si>
  <si>
    <t>charges opérationnelles</t>
  </si>
  <si>
    <t>ALI + APS + FEL+achats d'animaux</t>
  </si>
  <si>
    <t xml:space="preserve">Charges struct. Hors FF, amort </t>
  </si>
  <si>
    <t>MECA+BAT+FGE (hors frais financiers)+MSA</t>
  </si>
  <si>
    <t>EBE de l'atelier lait</t>
  </si>
  <si>
    <t>EBE de l'atelier lait= produit de l'atelier lait - charges courantes hors frais financiers + MSA</t>
  </si>
  <si>
    <t>Revenu disponible de l'atelier lait</t>
  </si>
  <si>
    <t xml:space="preserve"> Revenu disponible pour prélévement privé (PP) et autofinancement (AF) = EBE de l'atelier lait - annuités de l'atelier lait. Les annuités sont réparties avec la clé "CAP".</t>
  </si>
  <si>
    <t>Comment est calculé le prix pour rémunérer le travail non salarié à 1,5 SMIC</t>
  </si>
  <si>
    <t>Coût de production de l'atelier (avec une charge supplétive du travail non salarié comptée à un coût forfaitaire de 1,5 SMIC/UMO exploitant - Produits joints - aides</t>
  </si>
  <si>
    <t>Comment est calculé le prix pour rémunérer toutes les charges excepté le travail des exploitants</t>
  </si>
  <si>
    <t>Idem calcul précédent mais en déduisant le travail exploitant (ou = à 0 SMIC) du coût de production</t>
  </si>
  <si>
    <t>Qu'est ce que le RCAI ?</t>
  </si>
  <si>
    <t>C'est l'acronyme de Revenu Courant Avant Impôt = EBE - amortissements - Frais financiers + charges sociales exploitant</t>
  </si>
  <si>
    <t>Qu'est ce que le prix de revient pour "N" SMIC ?</t>
  </si>
  <si>
    <t>C'est le prix du lait qui assure la rémunération du travail exploitants à un niveau de N SMIC brut par UMO</t>
  </si>
  <si>
    <t>Cette feuille regroupe certains paramètres-clés utilisés dans les calculs.</t>
  </si>
  <si>
    <t>Vérifiez que le taux de rémunération du capital et la valeurs du SMIC net annuel correspondent bien à l'année qui vous intéresse, sinon changez-les.</t>
  </si>
  <si>
    <t>Nom de l'application</t>
  </si>
  <si>
    <t>COUPROD CAP</t>
  </si>
  <si>
    <t>Date de la version</t>
  </si>
  <si>
    <t>ICP</t>
  </si>
  <si>
    <t>SMICNETAN</t>
  </si>
  <si>
    <t>BRUT</t>
  </si>
  <si>
    <t>PLAFERM</t>
  </si>
  <si>
    <t>Le plan comptable comprend 7 classes (5 classes au bilan et 2 classes au compte de résultat)</t>
  </si>
  <si>
    <t>BILAN (classe de 1 à 5)</t>
  </si>
  <si>
    <t>COMPTE DE RESULTAT (classe 6 ou 7)</t>
  </si>
  <si>
    <t>1 – COMPTE DE CAPITAUX</t>
  </si>
  <si>
    <t>6 – CHARGES</t>
  </si>
  <si>
    <t>101  = capital individuel</t>
  </si>
  <si>
    <r>
      <t>6011</t>
    </r>
    <r>
      <rPr>
        <sz val="7"/>
        <rFont val="Arial Narrow"/>
        <family val="2"/>
      </rPr>
      <t xml:space="preserve">        </t>
    </r>
    <r>
      <rPr>
        <sz val="11"/>
        <rFont val="Arial Narrow"/>
        <family val="2"/>
      </rPr>
      <t>= engrais et amendements</t>
    </r>
  </si>
  <si>
    <t>108 = compte de l’exploitant</t>
  </si>
  <si>
    <r>
      <t>6012</t>
    </r>
    <r>
      <rPr>
        <sz val="7"/>
        <rFont val="Arial Narrow"/>
        <family val="2"/>
      </rPr>
      <t xml:space="preserve">        </t>
    </r>
    <r>
      <rPr>
        <sz val="11"/>
        <rFont val="Arial Narrow"/>
        <family val="2"/>
      </rPr>
      <t>= semences et plants</t>
    </r>
  </si>
  <si>
    <t xml:space="preserve">   (prélèvements et apports privés)</t>
  </si>
  <si>
    <r>
      <t>6013</t>
    </r>
    <r>
      <rPr>
        <sz val="7"/>
        <rFont val="Arial Narrow"/>
        <family val="2"/>
      </rPr>
      <t xml:space="preserve">        </t>
    </r>
    <r>
      <rPr>
        <sz val="11"/>
        <rFont val="Arial Narrow"/>
        <family val="2"/>
      </rPr>
      <t>= produits défense végétaux</t>
    </r>
  </si>
  <si>
    <t>120  = résultat de l’exercice (au bilan de clôture)</t>
  </si>
  <si>
    <r>
      <t>6014</t>
    </r>
    <r>
      <rPr>
        <sz val="7"/>
        <rFont val="Arial Narrow"/>
        <family val="2"/>
      </rPr>
      <t xml:space="preserve">        </t>
    </r>
    <r>
      <rPr>
        <sz val="11"/>
        <rFont val="Arial Narrow"/>
        <family val="2"/>
      </rPr>
      <t>= aliments du bétail</t>
    </r>
  </si>
  <si>
    <t>131 = subvention d’investissement</t>
  </si>
  <si>
    <r>
      <t>6015</t>
    </r>
    <r>
      <rPr>
        <sz val="7"/>
        <rFont val="Arial Narrow"/>
        <family val="2"/>
      </rPr>
      <t xml:space="preserve">        </t>
    </r>
    <r>
      <rPr>
        <sz val="11"/>
        <rFont val="Arial Narrow"/>
        <family val="2"/>
      </rPr>
      <t>= produits vétérinaires</t>
    </r>
  </si>
  <si>
    <t>1641 = emprunts fonciers</t>
  </si>
  <si>
    <r>
      <t>6016</t>
    </r>
    <r>
      <rPr>
        <sz val="7"/>
        <rFont val="Arial Narrow"/>
        <family val="2"/>
      </rPr>
      <t xml:space="preserve">        </t>
    </r>
    <r>
      <rPr>
        <sz val="11"/>
        <rFont val="Arial Narrow"/>
        <family val="2"/>
      </rPr>
      <t>= emballages</t>
    </r>
  </si>
  <si>
    <t>1642 = autres emprunts long et moyen terme</t>
  </si>
  <si>
    <t>6021 = carburants et lubrifiants stockés</t>
  </si>
  <si>
    <t>1643 = emprunts court terme</t>
  </si>
  <si>
    <t>6031 = variation de stock approvisionnement</t>
  </si>
  <si>
    <t>2 – IMMOBILISATIONS</t>
  </si>
  <si>
    <t>604 = achats d’animaux</t>
  </si>
  <si>
    <t>201 = frais d’établissement</t>
  </si>
  <si>
    <t>6061 = eau</t>
  </si>
  <si>
    <t>211 = terrains</t>
  </si>
  <si>
    <t>6063 = électricité</t>
  </si>
  <si>
    <t>213 = constructions</t>
  </si>
  <si>
    <t>6066 = fournitures entretien et outillage</t>
  </si>
  <si>
    <t>2154 = matériel</t>
  </si>
  <si>
    <t>6067 = fournitures pour immobilisations</t>
  </si>
  <si>
    <t>2151 = installations</t>
  </si>
  <si>
    <t>609 = rabais, remises, ristournes sur achats</t>
  </si>
  <si>
    <t>2313 = constructions en cours</t>
  </si>
  <si>
    <t>611 = sous-traitance (frais de récolte,…)</t>
  </si>
  <si>
    <t>2346 = plantations en cours</t>
  </si>
  <si>
    <t>6131 = locations et fermages</t>
  </si>
  <si>
    <t>241 = animaux immobilisés adultes</t>
  </si>
  <si>
    <r>
      <t xml:space="preserve">615 </t>
    </r>
    <r>
      <rPr>
        <sz val="7"/>
        <rFont val="Arial Narrow"/>
        <family val="2"/>
      </rPr>
      <t> </t>
    </r>
    <r>
      <rPr>
        <sz val="11"/>
        <rFont val="Arial Narrow"/>
        <family val="2"/>
      </rPr>
      <t>= entretien et réparation</t>
    </r>
  </si>
  <si>
    <t>242 = animaux immobilisés jeunes</t>
  </si>
  <si>
    <r>
      <t>616</t>
    </r>
    <r>
      <rPr>
        <sz val="7"/>
        <rFont val="Arial Narrow"/>
        <family val="2"/>
      </rPr>
      <t xml:space="preserve">  </t>
    </r>
    <r>
      <rPr>
        <sz val="11"/>
        <rFont val="Arial Narrow"/>
        <family val="2"/>
      </rPr>
      <t>= primes d’assurances professionnelles</t>
    </r>
  </si>
  <si>
    <t>246 = plantations pérennes</t>
  </si>
  <si>
    <t xml:space="preserve">   (matériel, bâtiment, prêts,…)</t>
  </si>
  <si>
    <r>
      <t>262</t>
    </r>
    <r>
      <rPr>
        <sz val="7"/>
        <rFont val="Arial Narrow"/>
        <family val="2"/>
      </rPr>
      <t>  </t>
    </r>
    <r>
      <rPr>
        <sz val="11"/>
        <rFont val="Arial Narrow"/>
        <family val="2"/>
      </rPr>
      <t>= parts sociales</t>
    </r>
  </si>
  <si>
    <t>6226 = honoraires (comptable, véto, labo, oeno.)</t>
  </si>
  <si>
    <t>2801 = amortissements de frais d’établissements</t>
  </si>
  <si>
    <t>626 = frais postaux et télécommunications</t>
  </si>
  <si>
    <t>2805 = amortissements de logiciels</t>
  </si>
  <si>
    <r>
      <t>627</t>
    </r>
    <r>
      <rPr>
        <sz val="7"/>
        <rFont val="Arial Narrow"/>
        <family val="2"/>
      </rPr>
      <t>  </t>
    </r>
    <r>
      <rPr>
        <sz val="11"/>
        <rFont val="Arial Narrow"/>
        <family val="2"/>
      </rPr>
      <t>= services bancaires ou frais bancaires</t>
    </r>
  </si>
  <si>
    <t>2813 = amortissements bâtiments</t>
  </si>
  <si>
    <t>6241 = Transport sur achats</t>
  </si>
  <si>
    <t>2815 = amortissements matériel et installations</t>
  </si>
  <si>
    <t>6281 = cotisations professionnelles</t>
  </si>
  <si>
    <t>2840 = amortissements de plantations</t>
  </si>
  <si>
    <t>6352 = taxes foncières (autres impôts locaux)</t>
  </si>
  <si>
    <t>3 – COMPTES DE STOCKS</t>
  </si>
  <si>
    <t>6355 = TVA non déductible</t>
  </si>
  <si>
    <t>301 = stocks approvisionnement</t>
  </si>
  <si>
    <t>641 = rémunérations du personnel (salaires)</t>
  </si>
  <si>
    <t>310 = animaux à cycle long</t>
  </si>
  <si>
    <t>645 = charges sociales sur salaires</t>
  </si>
  <si>
    <t>320 = animaux à cycle court</t>
  </si>
  <si>
    <t>646 = cotisations sociales MSA de l’exploitant</t>
  </si>
  <si>
    <t>370 = stock produits finis (à vendre)</t>
  </si>
  <si>
    <t>6611 = intérêts financiers (moyen et long terme)</t>
  </si>
  <si>
    <t>4 – COMPTES DE TIERS</t>
  </si>
  <si>
    <t>66182 = intérêts financiers (court terme)</t>
  </si>
  <si>
    <t>401 = fournisseurs (factures à payer)</t>
  </si>
  <si>
    <t>670 = charges exceptionnelles</t>
  </si>
  <si>
    <r>
      <t>411</t>
    </r>
    <r>
      <rPr>
        <sz val="7"/>
        <rFont val="Arial Narrow"/>
        <family val="2"/>
      </rPr>
      <t xml:space="preserve">   </t>
    </r>
    <r>
      <rPr>
        <sz val="11"/>
        <rFont val="Arial Narrow"/>
        <family val="2"/>
      </rPr>
      <t>= clients (factures à encaisser)</t>
    </r>
  </si>
  <si>
    <t>675 = valeur comptable d’actifs cédés</t>
  </si>
  <si>
    <t>445800 = TVA (acomptes et régularisations)</t>
  </si>
  <si>
    <r>
      <t>6811</t>
    </r>
    <r>
      <rPr>
        <sz val="7"/>
        <rFont val="Arial Narrow"/>
        <family val="2"/>
      </rPr>
      <t>  </t>
    </r>
    <r>
      <rPr>
        <sz val="11"/>
        <rFont val="Arial Narrow"/>
        <family val="2"/>
      </rPr>
      <t>= dotations aux amortissements</t>
    </r>
  </si>
  <si>
    <t>445622= TVA sur immobilisations à 5,5%</t>
  </si>
  <si>
    <t>445624= TVA sur immobilisations à 19,6%</t>
  </si>
  <si>
    <t>7 – PRODUITS</t>
  </si>
  <si>
    <t>445662= TVA sur achats à 5,5%</t>
  </si>
  <si>
    <t>701 = ventes produits végétaux</t>
  </si>
  <si>
    <t>445664= TVA sur achats à 19,6%</t>
  </si>
  <si>
    <r>
      <t>702</t>
    </r>
    <r>
      <rPr>
        <sz val="7"/>
        <rFont val="Arial Narrow"/>
        <family val="2"/>
      </rPr>
      <t xml:space="preserve">   </t>
    </r>
    <r>
      <rPr>
        <sz val="11"/>
        <rFont val="Arial Narrow"/>
        <family val="2"/>
      </rPr>
      <t>= ventes produits animaux</t>
    </r>
  </si>
  <si>
    <t>445712= TVA sur ventes à 5,5%</t>
  </si>
  <si>
    <r>
      <t>703</t>
    </r>
    <r>
      <rPr>
        <sz val="7"/>
        <rFont val="Arial Narrow"/>
        <family val="2"/>
      </rPr>
      <t xml:space="preserve">   </t>
    </r>
    <r>
      <rPr>
        <sz val="11"/>
        <rFont val="Arial Narrow"/>
        <family val="2"/>
      </rPr>
      <t>= ventes produits transformés</t>
    </r>
  </si>
  <si>
    <t>445714= TVA sur ventes à 19,6%</t>
  </si>
  <si>
    <r>
      <t>704</t>
    </r>
    <r>
      <rPr>
        <sz val="7"/>
        <rFont val="Arial Narrow"/>
        <family val="2"/>
      </rPr>
      <t xml:space="preserve">  </t>
    </r>
    <r>
      <rPr>
        <sz val="11"/>
        <rFont val="Arial Narrow"/>
        <family val="2"/>
      </rPr>
      <t>= ventes animaux</t>
    </r>
  </si>
  <si>
    <t xml:space="preserve">445510= TVA à décaisser </t>
  </si>
  <si>
    <t>705 = ventes de produits résiduels</t>
  </si>
  <si>
    <t>445670= crédit TVA à reporter</t>
  </si>
  <si>
    <t xml:space="preserve">  (fumier, paille)</t>
  </si>
  <si>
    <t>445830= remboursement TVA demandé</t>
  </si>
  <si>
    <t>708 = prestations de services</t>
  </si>
  <si>
    <t>455 = associés (comptes courants)</t>
  </si>
  <si>
    <t>712 = variation d’inventaire animaux</t>
  </si>
  <si>
    <t>5 – COMPTES FINANCIERS</t>
  </si>
  <si>
    <t>7137 = variation d’inventaire stock produits</t>
  </si>
  <si>
    <t>508 = valeurs mobilières de placement</t>
  </si>
  <si>
    <t>726 = production autoconsommée</t>
  </si>
  <si>
    <t>512 = banque</t>
  </si>
  <si>
    <t>745 = indemnités et subvention d’exploitation</t>
  </si>
  <si>
    <r>
      <t>530</t>
    </r>
    <r>
      <rPr>
        <sz val="7"/>
        <rFont val="Arial Narrow"/>
        <family val="2"/>
      </rPr>
      <t> </t>
    </r>
    <r>
      <rPr>
        <sz val="11"/>
        <rFont val="Arial Narrow"/>
        <family val="2"/>
      </rPr>
      <t>= caisse (espèces)</t>
    </r>
  </si>
  <si>
    <r>
      <t>760</t>
    </r>
    <r>
      <rPr>
        <sz val="7"/>
        <rFont val="Arial Narrow"/>
        <family val="2"/>
      </rPr>
      <t>   </t>
    </r>
    <r>
      <rPr>
        <sz val="11"/>
        <rFont val="Arial Narrow"/>
        <family val="2"/>
      </rPr>
      <t>= produits financiers (intérêts perçus)</t>
    </r>
  </si>
  <si>
    <t>519 = emprunt court terme (concours bancaire)</t>
  </si>
  <si>
    <t>770 = produits exceptionnels</t>
  </si>
  <si>
    <t>580 = virements internes</t>
  </si>
  <si>
    <t xml:space="preserve">775 = produits de cessions d’actifs </t>
  </si>
  <si>
    <t>Correction du bug calcul autonomie alimentaire pour troupeaux pâturants
Mise à jour des paramètres 2016</t>
  </si>
  <si>
    <t>v-23 mai 2017</t>
  </si>
  <si>
    <t>2017</t>
  </si>
  <si>
    <t>v-19 février 2019 2 SMIC</t>
  </si>
  <si>
    <t>Laitier avec pâturage revu2016 
2017</t>
  </si>
  <si>
    <t>FROMAGER MOYEN VOLUME
2017</t>
  </si>
  <si>
    <t>LIVREUR SPE EN ZP NORD RA
2017</t>
  </si>
  <si>
    <t>FROMAGER PETIT VOLUME
2017</t>
  </si>
  <si>
    <t>Mise à jour des paramètres 2017: 2 SMIC + Cas types Inosys 2017</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</si>
</sst>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quot; €&quot;_-;\-* #,##0.00&quot; €&quot;_-;_-* \-??&quot; €&quot;_-;_-@_-"/>
    <numFmt numFmtId="165" formatCode="dd/mm/yy;@"/>
    <numFmt numFmtId="166" formatCode="0.0"/>
    <numFmt numFmtId="167" formatCode="dd/mm/yy"/>
    <numFmt numFmtId="168" formatCode="#,##0.000000"/>
    <numFmt numFmtId="169" formatCode="#########0"/>
    <numFmt numFmtId="170" formatCode="#,##0\ _€"/>
    <numFmt numFmtId="171" formatCode="#,##0.000\ _€"/>
    <numFmt numFmtId="172" formatCode="#,##0.00\ _€"/>
    <numFmt numFmtId="173" formatCode="_-* #,##0&quot; €&quot;_-;\-* #,##0&quot; €&quot;_-;_-* \-??&quot; €&quot;_-;_-@_-"/>
    <numFmt numFmtId="174" formatCode="#,##0&quot; €&quot;;\-#,##0&quot; €&quot;"/>
    <numFmt numFmtId="175" formatCode="0.0&quot; ha&quot;"/>
    <numFmt numFmtId="176" formatCode="_-* #,##0\ [$€-40C]_-;\-* #,##0\ [$€-40C]_-;_-* \-??\ [$€-40C]_-;_-@_-"/>
    <numFmt numFmtId="177" formatCode="#,##0.0_ ;\-#,##0.0\ "/>
    <numFmt numFmtId="178" formatCode="#,##0_ ;\-#,##0\ "/>
    <numFmt numFmtId="179" formatCode="#,##0&quot;   &quot;"/>
    <numFmt numFmtId="180" formatCode="#,##0.00\ [$€-40C];[Red]\-#,##0.00\ [$€-40C]"/>
    <numFmt numFmtId="181" formatCode="#,##0&quot; €&quot;"/>
    <numFmt numFmtId="182" formatCode="\(#,##0&quot; €)&quot;"/>
    <numFmt numFmtId="183" formatCode="#,##0.0\ _€"/>
    <numFmt numFmtId="184" formatCode="_-* #,##0&quot; €&quot;_-;\-* #,##0&quot; €&quot;_-;_-* &quot;- €&quot;_-;_-@_-"/>
    <numFmt numFmtId="185" formatCode="#,##0.00\ [$€-81D];\-#,##0.00\ [$€-81D]"/>
    <numFmt numFmtId="186" formatCode="0.0%"/>
    <numFmt numFmtId="187" formatCode="#,##0.0"/>
    <numFmt numFmtId="188" formatCode="_-* #,##0.00\ _€_-;\-* #,##0.00\ _€_-;_-* \-??\ _€_-;_-@_-"/>
    <numFmt numFmtId="189" formatCode="#,##0.00&quot; €&quot;"/>
    <numFmt numFmtId="190" formatCode="&quot;Vrai&quot;;&quot;Vrai&quot;;&quot;Faux&quot;"/>
    <numFmt numFmtId="191" formatCode="&quot;Actif&quot;;&quot;Actif&quot;;&quot;Inactif&quot;"/>
    <numFmt numFmtId="192" formatCode="[$€-2]\ #,##0.00_);[Red]\([$€-2]\ #,##0.00\)"/>
  </numFmts>
  <fonts count="136">
    <font>
      <sz val="10"/>
      <name val="Arial"/>
      <family val="2"/>
    </font>
    <font>
      <sz val="9"/>
      <name val="Arial"/>
      <family val="2"/>
    </font>
    <font>
      <b/>
      <sz val="9"/>
      <color indexed="10"/>
      <name val="Arial"/>
      <family val="2"/>
    </font>
    <font>
      <b/>
      <sz val="14"/>
      <color indexed="16"/>
      <name val="Arial"/>
      <family val="2"/>
    </font>
    <font>
      <sz val="9"/>
      <color indexed="10"/>
      <name val="Arial"/>
      <family val="2"/>
    </font>
    <font>
      <b/>
      <sz val="10"/>
      <color indexed="16"/>
      <name val="Arial"/>
      <family val="2"/>
    </font>
    <font>
      <sz val="10"/>
      <color indexed="10"/>
      <name val="Arial"/>
      <family val="2"/>
    </font>
    <font>
      <sz val="10"/>
      <color indexed="16"/>
      <name val="Arial"/>
      <family val="2"/>
    </font>
    <font>
      <b/>
      <sz val="11"/>
      <color indexed="9"/>
      <name val="Arial"/>
      <family val="2"/>
    </font>
    <font>
      <sz val="11"/>
      <name val="Arial"/>
      <family val="2"/>
    </font>
    <font>
      <sz val="11"/>
      <color indexed="9"/>
      <name val="Arial"/>
      <family val="2"/>
    </font>
    <font>
      <sz val="11"/>
      <color indexed="16"/>
      <name val="Arial"/>
      <family val="2"/>
    </font>
    <font>
      <b/>
      <sz val="12"/>
      <color indexed="10"/>
      <name val="Arial"/>
      <family val="2"/>
    </font>
    <font>
      <b/>
      <sz val="10"/>
      <color indexed="9"/>
      <name val="Arial"/>
      <family val="2"/>
    </font>
    <font>
      <b/>
      <sz val="9"/>
      <name val="Arial"/>
      <family val="2"/>
    </font>
    <font>
      <sz val="9"/>
      <color indexed="60"/>
      <name val="Arial"/>
      <family val="2"/>
    </font>
    <font>
      <i/>
      <sz val="9"/>
      <color indexed="16"/>
      <name val="Arial"/>
      <family val="2"/>
    </font>
    <font>
      <sz val="8"/>
      <name val="Arial"/>
      <family val="2"/>
    </font>
    <font>
      <b/>
      <sz val="10"/>
      <name val="Arial"/>
      <family val="2"/>
    </font>
    <font>
      <sz val="9"/>
      <color indexed="9"/>
      <name val="Arial"/>
      <family val="2"/>
    </font>
    <font>
      <b/>
      <sz val="8"/>
      <color indexed="9"/>
      <name val="Arial"/>
      <family val="2"/>
    </font>
    <font>
      <b/>
      <sz val="10"/>
      <color indexed="10"/>
      <name val="Arial"/>
      <family val="2"/>
    </font>
    <font>
      <b/>
      <sz val="9"/>
      <color indexed="9"/>
      <name val="Arial"/>
      <family val="2"/>
    </font>
    <font>
      <sz val="10"/>
      <color indexed="8"/>
      <name val="Arial"/>
      <family val="2"/>
    </font>
    <font>
      <b/>
      <sz val="10"/>
      <color indexed="60"/>
      <name val="Arial"/>
      <family val="2"/>
    </font>
    <font>
      <sz val="8"/>
      <color indexed="10"/>
      <name val="Arial"/>
      <family val="2"/>
    </font>
    <font>
      <sz val="8"/>
      <color indexed="54"/>
      <name val="Arial"/>
      <family val="2"/>
    </font>
    <font>
      <sz val="10"/>
      <color indexed="54"/>
      <name val="Arial"/>
      <family val="2"/>
    </font>
    <font>
      <b/>
      <sz val="8"/>
      <name val="Arial"/>
      <family val="2"/>
    </font>
    <font>
      <b/>
      <sz val="8"/>
      <color indexed="10"/>
      <name val="Arial"/>
      <family val="2"/>
    </font>
    <font>
      <sz val="9"/>
      <color indexed="18"/>
      <name val="Arial"/>
      <family val="2"/>
    </font>
    <font>
      <sz val="9"/>
      <color indexed="16"/>
      <name val="Arial"/>
      <family val="2"/>
    </font>
    <font>
      <sz val="8"/>
      <color indexed="18"/>
      <name val="Arial"/>
      <family val="2"/>
    </font>
    <font>
      <sz val="8"/>
      <color indexed="16"/>
      <name val="Arial"/>
      <family val="2"/>
    </font>
    <font>
      <b/>
      <sz val="13"/>
      <name val="Arial"/>
      <family val="2"/>
    </font>
    <font>
      <sz val="10"/>
      <color indexed="60"/>
      <name val="Arial"/>
      <family val="2"/>
    </font>
    <font>
      <b/>
      <sz val="9"/>
      <color indexed="18"/>
      <name val="Arial"/>
      <family val="2"/>
    </font>
    <font>
      <i/>
      <sz val="8"/>
      <name val="Arial"/>
      <family val="2"/>
    </font>
    <font>
      <i/>
      <sz val="8"/>
      <color indexed="18"/>
      <name val="Arial"/>
      <family val="2"/>
    </font>
    <font>
      <b/>
      <sz val="10"/>
      <color indexed="18"/>
      <name val="Arial"/>
      <family val="2"/>
    </font>
    <font>
      <sz val="8"/>
      <color indexed="9"/>
      <name val="Arial"/>
      <family val="2"/>
    </font>
    <font>
      <sz val="9"/>
      <color indexed="20"/>
      <name val="Arial"/>
      <family val="2"/>
    </font>
    <font>
      <b/>
      <sz val="14"/>
      <name val="Arial"/>
      <family val="2"/>
    </font>
    <font>
      <sz val="14"/>
      <name val="Arial"/>
      <family val="2"/>
    </font>
    <font>
      <b/>
      <sz val="14"/>
      <color indexed="10"/>
      <name val="Arial"/>
      <family val="2"/>
    </font>
    <font>
      <b/>
      <sz val="10"/>
      <color indexed="63"/>
      <name val="Arial"/>
      <family val="2"/>
    </font>
    <font>
      <i/>
      <sz val="10"/>
      <name val="Arial"/>
      <family val="2"/>
    </font>
    <font>
      <b/>
      <sz val="10"/>
      <color indexed="61"/>
      <name val="Arial"/>
      <family val="2"/>
    </font>
    <font>
      <b/>
      <sz val="8"/>
      <color indexed="61"/>
      <name val="Arial"/>
      <family val="2"/>
    </font>
    <font>
      <b/>
      <i/>
      <sz val="12"/>
      <color indexed="8"/>
      <name val="Calibri"/>
      <family val="2"/>
    </font>
    <font>
      <sz val="11"/>
      <color indexed="8"/>
      <name val="Calibri"/>
      <family val="2"/>
    </font>
    <font>
      <sz val="8"/>
      <color indexed="8"/>
      <name val="Arial"/>
      <family val="2"/>
    </font>
    <font>
      <b/>
      <sz val="12"/>
      <name val="Arial"/>
      <family val="2"/>
    </font>
    <font>
      <b/>
      <sz val="13"/>
      <color indexed="16"/>
      <name val="Arial"/>
      <family val="2"/>
    </font>
    <font>
      <b/>
      <sz val="11"/>
      <color indexed="16"/>
      <name val="Arial"/>
      <family val="2"/>
    </font>
    <font>
      <b/>
      <sz val="8"/>
      <color indexed="60"/>
      <name val="Arial"/>
      <family val="2"/>
    </font>
    <font>
      <b/>
      <sz val="9"/>
      <color indexed="16"/>
      <name val="Arial"/>
      <family val="2"/>
    </font>
    <font>
      <b/>
      <sz val="10.5"/>
      <color indexed="9"/>
      <name val="Arial"/>
      <family val="2"/>
    </font>
    <font>
      <b/>
      <sz val="10.5"/>
      <color indexed="18"/>
      <name val="Arial"/>
      <family val="2"/>
    </font>
    <font>
      <b/>
      <sz val="9"/>
      <color indexed="60"/>
      <name val="Arial"/>
      <family val="2"/>
    </font>
    <font>
      <sz val="10"/>
      <color indexed="18"/>
      <name val="Arial"/>
      <family val="2"/>
    </font>
    <font>
      <b/>
      <sz val="11"/>
      <name val="Arial"/>
      <family val="2"/>
    </font>
    <font>
      <b/>
      <sz val="10.5"/>
      <color indexed="60"/>
      <name val="Arial"/>
      <family val="2"/>
    </font>
    <font>
      <sz val="11"/>
      <color indexed="10"/>
      <name val="Arial"/>
      <family val="2"/>
    </font>
    <font>
      <b/>
      <sz val="11"/>
      <color indexed="58"/>
      <name val="Arial"/>
      <family val="2"/>
    </font>
    <font>
      <b/>
      <sz val="8"/>
      <color indexed="18"/>
      <name val="Arial"/>
      <family val="2"/>
    </font>
    <font>
      <b/>
      <sz val="12"/>
      <color indexed="18"/>
      <name val="Arial"/>
      <family val="2"/>
    </font>
    <font>
      <sz val="8"/>
      <color indexed="60"/>
      <name val="Arial"/>
      <family val="2"/>
    </font>
    <font>
      <b/>
      <i/>
      <sz val="9"/>
      <color indexed="10"/>
      <name val="Arial"/>
      <family val="2"/>
    </font>
    <font>
      <sz val="10"/>
      <color indexed="9"/>
      <name val="Arial"/>
      <family val="2"/>
    </font>
    <font>
      <b/>
      <sz val="14"/>
      <color indexed="60"/>
      <name val="Arial"/>
      <family val="2"/>
    </font>
    <font>
      <b/>
      <sz val="9"/>
      <color indexed="58"/>
      <name val="Arial"/>
      <family val="2"/>
    </font>
    <font>
      <b/>
      <sz val="10"/>
      <color indexed="58"/>
      <name val="Arial"/>
      <family val="2"/>
    </font>
    <font>
      <sz val="10"/>
      <color indexed="58"/>
      <name val="Arial"/>
      <family val="2"/>
    </font>
    <font>
      <b/>
      <sz val="11"/>
      <color indexed="60"/>
      <name val="Arial"/>
      <family val="2"/>
    </font>
    <font>
      <b/>
      <sz val="10"/>
      <color indexed="57"/>
      <name val="Arial"/>
      <family val="2"/>
    </font>
    <font>
      <sz val="10"/>
      <color indexed="57"/>
      <name val="Arial"/>
      <family val="2"/>
    </font>
    <font>
      <b/>
      <sz val="10.5"/>
      <color indexed="58"/>
      <name val="Arial"/>
      <family val="2"/>
    </font>
    <font>
      <b/>
      <i/>
      <sz val="10"/>
      <color indexed="10"/>
      <name val="Arial"/>
      <family val="2"/>
    </font>
    <font>
      <i/>
      <sz val="8"/>
      <color indexed="10"/>
      <name val="Arial"/>
      <family val="2"/>
    </font>
    <font>
      <sz val="11"/>
      <color indexed="18"/>
      <name val="Arial"/>
      <family val="2"/>
    </font>
    <font>
      <b/>
      <sz val="11"/>
      <color indexed="10"/>
      <name val="Arial"/>
      <family val="2"/>
    </font>
    <font>
      <sz val="8"/>
      <color indexed="12"/>
      <name val="Arial"/>
      <family val="2"/>
    </font>
    <font>
      <sz val="10"/>
      <color indexed="12"/>
      <name val="Arial"/>
      <family val="2"/>
    </font>
    <font>
      <i/>
      <sz val="9"/>
      <name val="Arial"/>
      <family val="2"/>
    </font>
    <font>
      <b/>
      <sz val="9"/>
      <color indexed="59"/>
      <name val="Arial"/>
      <family val="2"/>
    </font>
    <font>
      <sz val="9"/>
      <color indexed="59"/>
      <name val="Arial"/>
      <family val="2"/>
    </font>
    <font>
      <b/>
      <sz val="14"/>
      <name val="Arial Narrow"/>
      <family val="2"/>
    </font>
    <font>
      <sz val="10"/>
      <name val="Arial Narrow"/>
      <family val="2"/>
    </font>
    <font>
      <sz val="6"/>
      <name val="Arial Narrow"/>
      <family val="2"/>
    </font>
    <font>
      <b/>
      <sz val="12"/>
      <name val="Arial Narrow"/>
      <family val="2"/>
    </font>
    <font>
      <b/>
      <sz val="11"/>
      <name val="Arial Narrow"/>
      <family val="2"/>
    </font>
    <font>
      <sz val="11"/>
      <name val="Arial Narrow"/>
      <family val="2"/>
    </font>
    <font>
      <sz val="7"/>
      <name val="Arial Narrow"/>
      <family val="2"/>
    </font>
    <font>
      <sz val="5"/>
      <name val="Arial Narrow"/>
      <family val="2"/>
    </font>
    <font>
      <b/>
      <sz val="8"/>
      <color indexed="8"/>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30"/>
      <name val="Arial"/>
      <family val="2"/>
    </font>
    <font>
      <u val="single"/>
      <sz val="10"/>
      <color indexed="25"/>
      <name val="Arial"/>
      <family val="2"/>
    </font>
    <font>
      <sz val="11"/>
      <color indexed="60"/>
      <name val="Calibri"/>
      <family val="2"/>
    </font>
    <font>
      <sz val="11"/>
      <color indexed="17"/>
      <name val="Calibri"/>
      <family val="2"/>
    </font>
    <font>
      <b/>
      <sz val="11"/>
      <color indexed="8"/>
      <name val="Calibri"/>
      <family val="2"/>
    </font>
    <font>
      <i/>
      <sz val="11"/>
      <color indexed="19"/>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9"/>
      <name val="Calibri"/>
      <family val="2"/>
    </font>
    <font>
      <sz val="8"/>
      <name val="Segoe UI"/>
      <family val="2"/>
    </font>
    <font>
      <sz val="11"/>
      <color indexed="8"/>
      <name val="Arial"/>
      <family val="2"/>
    </font>
    <font>
      <b/>
      <sz val="9"/>
      <color indexed="8"/>
      <name val="Arial"/>
      <family val="2"/>
    </font>
    <font>
      <sz val="9"/>
      <color indexed="8"/>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0"/>
      <name val="Arial"/>
      <family val="2"/>
    </font>
    <font>
      <u val="single"/>
      <sz val="10"/>
      <color theme="11"/>
      <name val="Arial"/>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6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54"/>
        <bgColor indexed="64"/>
      </patternFill>
    </fill>
    <fill>
      <patternFill patternType="solid">
        <fgColor indexed="10"/>
        <bgColor indexed="64"/>
      </patternFill>
    </fill>
    <fill>
      <patternFill patternType="solid">
        <fgColor indexed="13"/>
        <bgColor indexed="64"/>
      </patternFill>
    </fill>
    <fill>
      <patternFill patternType="solid">
        <fgColor indexed="51"/>
        <bgColor indexed="64"/>
      </patternFill>
    </fill>
    <fill>
      <patternFill patternType="solid">
        <fgColor indexed="29"/>
        <bgColor indexed="64"/>
      </patternFill>
    </fill>
    <fill>
      <patternFill patternType="solid">
        <fgColor indexed="43"/>
        <bgColor indexed="64"/>
      </patternFill>
    </fill>
    <fill>
      <patternFill patternType="solid">
        <fgColor indexed="60"/>
        <bgColor indexed="64"/>
      </patternFill>
    </fill>
    <fill>
      <patternFill patternType="solid">
        <fgColor indexed="9"/>
        <bgColor indexed="64"/>
      </patternFill>
    </fill>
    <fill>
      <patternFill patternType="solid">
        <fgColor indexed="55"/>
        <bgColor indexed="64"/>
      </patternFill>
    </fill>
    <fill>
      <patternFill patternType="solid">
        <fgColor indexed="47"/>
        <bgColor indexed="64"/>
      </patternFill>
    </fill>
    <fill>
      <patternFill patternType="solid">
        <fgColor indexed="11"/>
        <bgColor indexed="64"/>
      </patternFill>
    </fill>
    <fill>
      <patternFill patternType="solid">
        <fgColor indexed="27"/>
        <bgColor indexed="64"/>
      </patternFill>
    </fill>
    <fill>
      <patternFill patternType="solid">
        <fgColor indexed="57"/>
        <bgColor indexed="64"/>
      </patternFill>
    </fill>
    <fill>
      <patternFill patternType="solid">
        <fgColor indexed="52"/>
        <bgColor indexed="64"/>
      </patternFill>
    </fill>
    <fill>
      <patternFill patternType="solid">
        <fgColor indexed="17"/>
        <bgColor indexed="64"/>
      </patternFill>
    </fill>
    <fill>
      <patternFill patternType="solid">
        <fgColor indexed="40"/>
        <bgColor indexed="64"/>
      </patternFill>
    </fill>
    <fill>
      <patternFill patternType="solid">
        <fgColor indexed="34"/>
        <bgColor indexed="64"/>
      </patternFill>
    </fill>
    <fill>
      <patternFill patternType="solid">
        <fgColor indexed="15"/>
        <bgColor indexed="64"/>
      </patternFill>
    </fill>
    <fill>
      <patternFill patternType="solid">
        <fgColor indexed="18"/>
        <bgColor indexed="64"/>
      </patternFill>
    </fill>
    <fill>
      <patternFill patternType="solid">
        <fgColor indexed="42"/>
        <bgColor indexed="64"/>
      </patternFill>
    </fill>
    <fill>
      <patternFill patternType="solid">
        <fgColor indexed="53"/>
        <bgColor indexed="64"/>
      </patternFill>
    </fill>
    <fill>
      <patternFill patternType="solid">
        <fgColor indexed="23"/>
        <bgColor indexed="64"/>
      </patternFill>
    </fill>
    <fill>
      <patternFill patternType="solid">
        <fgColor indexed="24"/>
        <bgColor indexed="64"/>
      </patternFill>
    </fill>
    <fill>
      <patternFill patternType="solid">
        <fgColor indexed="20"/>
        <bgColor indexed="64"/>
      </patternFill>
    </fill>
    <fill>
      <patternFill patternType="solid">
        <fgColor indexed="44"/>
        <bgColor indexed="64"/>
      </patternFill>
    </fill>
    <fill>
      <patternFill patternType="solid">
        <fgColor indexed="8"/>
        <bgColor indexed="64"/>
      </patternFill>
    </fill>
    <fill>
      <patternFill patternType="solid">
        <fgColor indexed="26"/>
        <bgColor indexed="64"/>
      </patternFill>
    </fill>
    <fill>
      <patternFill patternType="solid">
        <fgColor indexed="50"/>
        <bgColor indexed="64"/>
      </patternFill>
    </fill>
    <fill>
      <patternFill patternType="solid">
        <fgColor indexed="62"/>
        <bgColor indexed="64"/>
      </patternFill>
    </fill>
    <fill>
      <patternFill patternType="solid">
        <fgColor indexed="31"/>
        <bgColor indexed="64"/>
      </patternFill>
    </fill>
    <fill>
      <patternFill patternType="solid">
        <fgColor indexed="45"/>
        <bgColor indexed="64"/>
      </patternFill>
    </fill>
    <fill>
      <patternFill patternType="solid">
        <fgColor indexed="22"/>
        <bgColor indexed="64"/>
      </patternFill>
    </fill>
    <fill>
      <patternFill patternType="solid">
        <fgColor indexed="46"/>
        <bgColor indexed="64"/>
      </patternFill>
    </fill>
  </fills>
  <borders count="19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color indexed="54"/>
      </left>
      <right>
        <color indexed="63"/>
      </right>
      <top style="medium">
        <color indexed="54"/>
      </top>
      <bottom>
        <color indexed="63"/>
      </bottom>
    </border>
    <border>
      <left>
        <color indexed="63"/>
      </left>
      <right>
        <color indexed="63"/>
      </right>
      <top style="medium">
        <color indexed="54"/>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style="thin">
        <color indexed="8"/>
      </top>
      <bottom style="thin">
        <color indexed="8"/>
      </bottom>
    </border>
    <border>
      <left>
        <color indexed="63"/>
      </left>
      <right style="medium">
        <color indexed="54"/>
      </right>
      <top style="medium">
        <color indexed="54"/>
      </top>
      <bottom>
        <color indexed="63"/>
      </bottom>
    </border>
    <border>
      <left>
        <color indexed="63"/>
      </left>
      <right>
        <color indexed="63"/>
      </right>
      <top>
        <color indexed="63"/>
      </top>
      <bottom style="hair">
        <color indexed="54"/>
      </bottom>
    </border>
    <border>
      <left>
        <color indexed="63"/>
      </left>
      <right>
        <color indexed="63"/>
      </right>
      <top style="hair">
        <color indexed="54"/>
      </top>
      <bottom>
        <color indexed="63"/>
      </bottom>
    </border>
    <border>
      <left>
        <color indexed="63"/>
      </left>
      <right>
        <color indexed="63"/>
      </right>
      <top style="hair">
        <color indexed="54"/>
      </top>
      <bottom style="hair">
        <color indexed="54"/>
      </bottom>
    </border>
    <border>
      <left style="thick">
        <color indexed="51"/>
      </left>
      <right>
        <color indexed="63"/>
      </right>
      <top style="thick">
        <color indexed="51"/>
      </top>
      <bottom style="thick">
        <color indexed="51"/>
      </bottom>
    </border>
    <border>
      <left>
        <color indexed="63"/>
      </left>
      <right>
        <color indexed="63"/>
      </right>
      <top style="thick">
        <color indexed="51"/>
      </top>
      <bottom style="thick">
        <color indexed="51"/>
      </bottom>
    </border>
    <border>
      <left>
        <color indexed="63"/>
      </left>
      <right style="thick">
        <color indexed="51"/>
      </right>
      <top style="thick">
        <color indexed="51"/>
      </top>
      <bottom style="thick">
        <color indexed="51"/>
      </bottom>
    </border>
    <border>
      <left>
        <color indexed="63"/>
      </left>
      <right>
        <color indexed="63"/>
      </right>
      <top style="thick">
        <color indexed="51"/>
      </top>
      <bottom style="hair">
        <color indexed="54"/>
      </bottom>
    </border>
    <border>
      <left>
        <color indexed="63"/>
      </left>
      <right>
        <color indexed="63"/>
      </right>
      <top>
        <color indexed="63"/>
      </top>
      <bottom style="medium">
        <color indexed="54"/>
      </bottom>
    </border>
    <border>
      <left style="medium">
        <color indexed="54"/>
      </left>
      <right>
        <color indexed="63"/>
      </right>
      <top style="medium">
        <color indexed="54"/>
      </top>
      <bottom style="medium">
        <color indexed="54"/>
      </bottom>
    </border>
    <border>
      <left>
        <color indexed="63"/>
      </left>
      <right>
        <color indexed="63"/>
      </right>
      <top style="medium">
        <color indexed="54"/>
      </top>
      <bottom style="medium">
        <color indexed="54"/>
      </bottom>
    </border>
    <border>
      <left>
        <color indexed="63"/>
      </left>
      <right>
        <color indexed="63"/>
      </right>
      <top>
        <color indexed="63"/>
      </top>
      <bottom style="hair">
        <color indexed="8"/>
      </bottom>
    </border>
    <border>
      <left>
        <color indexed="63"/>
      </left>
      <right>
        <color indexed="63"/>
      </right>
      <top style="thin">
        <color indexed="57"/>
      </top>
      <bottom>
        <color indexed="63"/>
      </bottom>
    </border>
    <border>
      <left>
        <color indexed="63"/>
      </left>
      <right>
        <color indexed="63"/>
      </right>
      <top style="hair">
        <color indexed="8"/>
      </top>
      <bottom>
        <color indexed="63"/>
      </bottom>
    </border>
    <border>
      <left>
        <color indexed="63"/>
      </left>
      <right>
        <color indexed="63"/>
      </right>
      <top style="hair">
        <color indexed="8"/>
      </top>
      <bottom style="thick">
        <color indexed="54"/>
      </bottom>
    </border>
    <border>
      <left>
        <color indexed="63"/>
      </left>
      <right>
        <color indexed="63"/>
      </right>
      <top>
        <color indexed="63"/>
      </top>
      <bottom style="thick">
        <color indexed="54"/>
      </bottom>
    </border>
    <border>
      <left>
        <color indexed="63"/>
      </left>
      <right>
        <color indexed="63"/>
      </right>
      <top style="hair">
        <color indexed="54"/>
      </top>
      <bottom style="thick">
        <color indexed="54"/>
      </bottom>
    </border>
    <border>
      <left>
        <color indexed="63"/>
      </left>
      <right>
        <color indexed="63"/>
      </right>
      <top style="thick">
        <color indexed="54"/>
      </top>
      <bottom style="hair">
        <color indexed="54"/>
      </bottom>
    </border>
    <border>
      <left>
        <color indexed="63"/>
      </left>
      <right>
        <color indexed="63"/>
      </right>
      <top style="hair">
        <color indexed="8"/>
      </top>
      <bottom style="hair">
        <color indexed="54"/>
      </bottom>
    </border>
    <border>
      <left>
        <color indexed="63"/>
      </left>
      <right>
        <color indexed="63"/>
      </right>
      <top>
        <color indexed="63"/>
      </top>
      <bottom style="hair">
        <color indexed="56"/>
      </bottom>
    </border>
    <border>
      <left>
        <color indexed="63"/>
      </left>
      <right>
        <color indexed="63"/>
      </right>
      <top style="hair">
        <color indexed="56"/>
      </top>
      <bottom style="hair">
        <color indexed="56"/>
      </bottom>
    </border>
    <border>
      <left>
        <color indexed="63"/>
      </left>
      <right>
        <color indexed="63"/>
      </right>
      <top style="hair">
        <color indexed="56"/>
      </top>
      <bottom style="thick">
        <color indexed="54"/>
      </bottom>
    </border>
    <border>
      <left>
        <color indexed="63"/>
      </left>
      <right>
        <color indexed="63"/>
      </right>
      <top style="hair">
        <color indexed="8"/>
      </top>
      <bottom style="hair">
        <color indexed="8"/>
      </bottom>
    </border>
    <border>
      <left style="medium">
        <color indexed="51"/>
      </left>
      <right>
        <color indexed="63"/>
      </right>
      <top style="medium">
        <color indexed="51"/>
      </top>
      <bottom style="medium">
        <color indexed="51"/>
      </bottom>
    </border>
    <border>
      <left>
        <color indexed="63"/>
      </left>
      <right>
        <color indexed="63"/>
      </right>
      <top style="medium">
        <color indexed="51"/>
      </top>
      <bottom style="medium">
        <color indexed="51"/>
      </bottom>
    </border>
    <border>
      <left>
        <color indexed="63"/>
      </left>
      <right style="medium">
        <color indexed="51"/>
      </right>
      <top style="medium">
        <color indexed="51"/>
      </top>
      <bottom style="medium">
        <color indexed="51"/>
      </bottom>
    </border>
    <border>
      <left style="thick">
        <color indexed="51"/>
      </left>
      <right>
        <color indexed="63"/>
      </right>
      <top style="thick">
        <color indexed="51"/>
      </top>
      <bottom>
        <color indexed="63"/>
      </bottom>
    </border>
    <border>
      <left>
        <color indexed="63"/>
      </left>
      <right>
        <color indexed="63"/>
      </right>
      <top style="thick">
        <color indexed="51"/>
      </top>
      <bottom>
        <color indexed="63"/>
      </bottom>
    </border>
    <border>
      <left>
        <color indexed="63"/>
      </left>
      <right>
        <color indexed="63"/>
      </right>
      <top>
        <color indexed="63"/>
      </top>
      <bottom style="hair">
        <color indexed="18"/>
      </bottom>
    </border>
    <border>
      <left>
        <color indexed="63"/>
      </left>
      <right>
        <color indexed="63"/>
      </right>
      <top style="hair">
        <color indexed="18"/>
      </top>
      <bottom style="thick">
        <color indexed="51"/>
      </bottom>
    </border>
    <border>
      <left style="thin">
        <color indexed="54"/>
      </left>
      <right style="hair">
        <color indexed="54"/>
      </right>
      <top style="thin">
        <color indexed="54"/>
      </top>
      <bottom>
        <color indexed="63"/>
      </bottom>
    </border>
    <border>
      <left>
        <color indexed="63"/>
      </left>
      <right style="hair">
        <color indexed="54"/>
      </right>
      <top style="thin">
        <color indexed="54"/>
      </top>
      <bottom>
        <color indexed="63"/>
      </bottom>
    </border>
    <border>
      <left style="hair">
        <color indexed="54"/>
      </left>
      <right style="hair">
        <color indexed="54"/>
      </right>
      <top style="thin">
        <color indexed="54"/>
      </top>
      <bottom>
        <color indexed="63"/>
      </bottom>
    </border>
    <border>
      <left style="hair">
        <color indexed="54"/>
      </left>
      <right>
        <color indexed="63"/>
      </right>
      <top style="thin">
        <color indexed="54"/>
      </top>
      <bottom>
        <color indexed="63"/>
      </bottom>
    </border>
    <border>
      <left style="thin">
        <color indexed="8"/>
      </left>
      <right>
        <color indexed="63"/>
      </right>
      <top style="thin">
        <color indexed="8"/>
      </top>
      <bottom>
        <color indexed="63"/>
      </bottom>
    </border>
    <border>
      <left style="thin">
        <color indexed="54"/>
      </left>
      <right style="hair">
        <color indexed="54"/>
      </right>
      <top>
        <color indexed="63"/>
      </top>
      <bottom>
        <color indexed="63"/>
      </bottom>
    </border>
    <border>
      <left>
        <color indexed="63"/>
      </left>
      <right style="hair">
        <color indexed="54"/>
      </right>
      <top>
        <color indexed="63"/>
      </top>
      <bottom>
        <color indexed="63"/>
      </bottom>
    </border>
    <border>
      <left style="hair">
        <color indexed="54"/>
      </left>
      <right style="hair">
        <color indexed="54"/>
      </right>
      <top>
        <color indexed="63"/>
      </top>
      <bottom>
        <color indexed="63"/>
      </bottom>
    </border>
    <border>
      <left style="hair">
        <color indexed="54"/>
      </left>
      <right>
        <color indexed="63"/>
      </right>
      <top>
        <color indexed="63"/>
      </top>
      <bottom>
        <color indexed="63"/>
      </bottom>
    </border>
    <border>
      <left style="thin">
        <color indexed="8"/>
      </left>
      <right>
        <color indexed="63"/>
      </right>
      <top>
        <color indexed="63"/>
      </top>
      <bottom>
        <color indexed="63"/>
      </bottom>
    </border>
    <border>
      <left style="thin">
        <color indexed="8"/>
      </left>
      <right style="hair">
        <color indexed="18"/>
      </right>
      <top>
        <color indexed="63"/>
      </top>
      <bottom style="hair">
        <color indexed="18"/>
      </bottom>
    </border>
    <border>
      <left style="hair">
        <color indexed="18"/>
      </left>
      <right style="hair">
        <color indexed="18"/>
      </right>
      <top>
        <color indexed="63"/>
      </top>
      <bottom style="hair">
        <color indexed="18"/>
      </bottom>
    </border>
    <border>
      <left style="hair">
        <color indexed="18"/>
      </left>
      <right style="thin">
        <color indexed="18"/>
      </right>
      <top>
        <color indexed="63"/>
      </top>
      <bottom style="hair">
        <color indexed="18"/>
      </bottom>
    </border>
    <border>
      <left style="thin">
        <color indexed="54"/>
      </left>
      <right style="thin">
        <color indexed="54"/>
      </right>
      <top>
        <color indexed="63"/>
      </top>
      <bottom style="thin">
        <color indexed="54"/>
      </bottom>
    </border>
    <border>
      <left style="thin">
        <color indexed="54"/>
      </left>
      <right style="hair">
        <color indexed="54"/>
      </right>
      <top>
        <color indexed="63"/>
      </top>
      <bottom style="thin">
        <color indexed="54"/>
      </bottom>
    </border>
    <border>
      <left style="hair">
        <color indexed="54"/>
      </left>
      <right style="hair">
        <color indexed="54"/>
      </right>
      <top>
        <color indexed="63"/>
      </top>
      <bottom style="thin">
        <color indexed="54"/>
      </bottom>
    </border>
    <border>
      <left style="hair">
        <color indexed="54"/>
      </left>
      <right>
        <color indexed="63"/>
      </right>
      <top>
        <color indexed="63"/>
      </top>
      <bottom style="thin">
        <color indexed="54"/>
      </bottom>
    </border>
    <border>
      <left>
        <color indexed="63"/>
      </left>
      <right style="hair">
        <color indexed="54"/>
      </right>
      <top>
        <color indexed="63"/>
      </top>
      <bottom style="thin">
        <color indexed="54"/>
      </bottom>
    </border>
    <border>
      <left style="thin">
        <color indexed="8"/>
      </left>
      <right>
        <color indexed="63"/>
      </right>
      <top>
        <color indexed="63"/>
      </top>
      <bottom style="thin">
        <color indexed="8"/>
      </bottom>
    </border>
    <border>
      <left style="thin">
        <color indexed="8"/>
      </left>
      <right style="hair">
        <color indexed="18"/>
      </right>
      <top style="hair">
        <color indexed="18"/>
      </top>
      <bottom style="thin">
        <color indexed="18"/>
      </bottom>
    </border>
    <border>
      <left style="hair">
        <color indexed="18"/>
      </left>
      <right style="hair">
        <color indexed="18"/>
      </right>
      <top style="hair">
        <color indexed="18"/>
      </top>
      <bottom style="thin">
        <color indexed="18"/>
      </bottom>
    </border>
    <border>
      <left style="hair">
        <color indexed="18"/>
      </left>
      <right style="thin">
        <color indexed="18"/>
      </right>
      <top style="hair">
        <color indexed="18"/>
      </top>
      <bottom style="thin">
        <color indexed="18"/>
      </bottom>
    </border>
    <border>
      <left style="thin">
        <color indexed="54"/>
      </left>
      <right style="hair">
        <color indexed="54"/>
      </right>
      <top style="thin">
        <color indexed="54"/>
      </top>
      <bottom style="hair">
        <color indexed="54"/>
      </bottom>
    </border>
    <border>
      <left>
        <color indexed="63"/>
      </left>
      <right style="hair">
        <color indexed="54"/>
      </right>
      <top style="thin">
        <color indexed="54"/>
      </top>
      <bottom style="hair">
        <color indexed="54"/>
      </bottom>
    </border>
    <border>
      <left style="hair">
        <color indexed="54"/>
      </left>
      <right style="hair">
        <color indexed="54"/>
      </right>
      <top style="thin">
        <color indexed="54"/>
      </top>
      <bottom style="hair">
        <color indexed="54"/>
      </bottom>
    </border>
    <border>
      <left style="hair">
        <color indexed="54"/>
      </left>
      <right style="thin">
        <color indexed="54"/>
      </right>
      <top style="thin">
        <color indexed="54"/>
      </top>
      <bottom style="hair">
        <color indexed="54"/>
      </bottom>
    </border>
    <border>
      <left style="thin">
        <color indexed="54"/>
      </left>
      <right style="hair">
        <color indexed="54"/>
      </right>
      <top style="hair">
        <color indexed="54"/>
      </top>
      <bottom style="hair">
        <color indexed="54"/>
      </bottom>
    </border>
    <border>
      <left>
        <color indexed="63"/>
      </left>
      <right style="hair">
        <color indexed="54"/>
      </right>
      <top style="hair">
        <color indexed="54"/>
      </top>
      <bottom style="hair">
        <color indexed="54"/>
      </bottom>
    </border>
    <border>
      <left style="hair">
        <color indexed="54"/>
      </left>
      <right style="hair">
        <color indexed="54"/>
      </right>
      <top style="hair">
        <color indexed="54"/>
      </top>
      <bottom style="hair">
        <color indexed="54"/>
      </bottom>
    </border>
    <border>
      <left style="hair">
        <color indexed="54"/>
      </left>
      <right style="thin">
        <color indexed="54"/>
      </right>
      <top style="hair">
        <color indexed="54"/>
      </top>
      <bottom style="hair">
        <color indexed="54"/>
      </bottom>
    </border>
    <border>
      <left style="thin">
        <color indexed="54"/>
      </left>
      <right style="hair">
        <color indexed="54"/>
      </right>
      <top style="hair">
        <color indexed="54"/>
      </top>
      <bottom style="thin">
        <color indexed="54"/>
      </bottom>
    </border>
    <border>
      <left>
        <color indexed="63"/>
      </left>
      <right style="hair">
        <color indexed="54"/>
      </right>
      <top style="hair">
        <color indexed="54"/>
      </top>
      <bottom style="thin">
        <color indexed="54"/>
      </bottom>
    </border>
    <border>
      <left style="hair">
        <color indexed="54"/>
      </left>
      <right style="hair">
        <color indexed="54"/>
      </right>
      <top style="hair">
        <color indexed="54"/>
      </top>
      <bottom style="thin">
        <color indexed="54"/>
      </bottom>
    </border>
    <border>
      <left style="hair">
        <color indexed="54"/>
      </left>
      <right style="thin">
        <color indexed="54"/>
      </right>
      <top style="hair">
        <color indexed="54"/>
      </top>
      <bottom style="thin">
        <color indexed="54"/>
      </bottom>
    </border>
    <border>
      <left>
        <color indexed="63"/>
      </left>
      <right>
        <color indexed="63"/>
      </right>
      <top style="thin">
        <color indexed="54"/>
      </top>
      <bottom>
        <color indexed="63"/>
      </bottom>
    </border>
    <border>
      <left style="thin">
        <color indexed="54"/>
      </left>
      <right style="hair">
        <color indexed="54"/>
      </right>
      <top style="thin">
        <color indexed="54"/>
      </top>
      <bottom style="thin">
        <color indexed="54"/>
      </bottom>
    </border>
    <border>
      <left style="hair">
        <color indexed="54"/>
      </left>
      <right style="hair">
        <color indexed="54"/>
      </right>
      <top style="thin">
        <color indexed="54"/>
      </top>
      <bottom style="thin">
        <color indexed="54"/>
      </bottom>
    </border>
    <border>
      <left style="hair">
        <color indexed="54"/>
      </left>
      <right style="thin">
        <color indexed="54"/>
      </right>
      <top style="thin">
        <color indexed="54"/>
      </top>
      <bottom style="thin">
        <color indexed="54"/>
      </bottom>
    </border>
    <border>
      <left style="thin">
        <color indexed="16"/>
      </left>
      <right>
        <color indexed="63"/>
      </right>
      <top style="thin">
        <color indexed="16"/>
      </top>
      <bottom>
        <color indexed="63"/>
      </bottom>
    </border>
    <border>
      <left>
        <color indexed="63"/>
      </left>
      <right>
        <color indexed="63"/>
      </right>
      <top style="thin">
        <color indexed="16"/>
      </top>
      <bottom>
        <color indexed="63"/>
      </bottom>
    </border>
    <border>
      <left style="thin">
        <color indexed="47"/>
      </left>
      <right>
        <color indexed="63"/>
      </right>
      <top style="thin">
        <color indexed="47"/>
      </top>
      <bottom style="thin">
        <color indexed="47"/>
      </bottom>
    </border>
    <border>
      <left>
        <color indexed="63"/>
      </left>
      <right>
        <color indexed="63"/>
      </right>
      <top style="thin">
        <color indexed="47"/>
      </top>
      <bottom style="thin">
        <color indexed="47"/>
      </bottom>
    </border>
    <border>
      <left>
        <color indexed="63"/>
      </left>
      <right style="thin">
        <color indexed="47"/>
      </right>
      <top style="thin">
        <color indexed="47"/>
      </top>
      <bottom style="thin">
        <color indexed="47"/>
      </bottom>
    </border>
    <border>
      <left>
        <color indexed="63"/>
      </left>
      <right>
        <color indexed="63"/>
      </right>
      <top style="thin">
        <color indexed="54"/>
      </top>
      <bottom style="hair">
        <color indexed="54"/>
      </bottom>
    </border>
    <border>
      <left>
        <color indexed="63"/>
      </left>
      <right>
        <color indexed="63"/>
      </right>
      <top style="hair">
        <color indexed="54"/>
      </top>
      <bottom style="thin">
        <color indexed="54"/>
      </bottom>
    </border>
    <border>
      <left style="thin">
        <color indexed="18"/>
      </left>
      <right style="hair">
        <color indexed="18"/>
      </right>
      <top>
        <color indexed="63"/>
      </top>
      <bottom style="hair">
        <color indexed="18"/>
      </bottom>
    </border>
    <border>
      <left>
        <color indexed="63"/>
      </left>
      <right style="hair">
        <color indexed="18"/>
      </right>
      <top>
        <color indexed="63"/>
      </top>
      <bottom style="hair">
        <color indexed="18"/>
      </bottom>
    </border>
    <border>
      <left>
        <color indexed="63"/>
      </left>
      <right>
        <color indexed="63"/>
      </right>
      <top>
        <color indexed="63"/>
      </top>
      <bottom style="thin">
        <color indexed="54"/>
      </bottom>
    </border>
    <border>
      <left style="thin">
        <color indexed="18"/>
      </left>
      <right style="hair">
        <color indexed="18"/>
      </right>
      <top style="hair">
        <color indexed="18"/>
      </top>
      <bottom style="thin">
        <color indexed="18"/>
      </bottom>
    </border>
    <border>
      <left style="thin">
        <color indexed="54"/>
      </left>
      <right style="hair">
        <color indexed="54"/>
      </right>
      <top style="thin">
        <color indexed="18"/>
      </top>
      <bottom style="hair">
        <color indexed="54"/>
      </bottom>
    </border>
    <border>
      <left>
        <color indexed="63"/>
      </left>
      <right style="hair">
        <color indexed="54"/>
      </right>
      <top style="thin">
        <color indexed="18"/>
      </top>
      <bottom style="hair">
        <color indexed="54"/>
      </bottom>
    </border>
    <border>
      <left>
        <color indexed="63"/>
      </left>
      <right style="thin">
        <color indexed="54"/>
      </right>
      <top style="thin">
        <color indexed="18"/>
      </top>
      <bottom style="hair">
        <color indexed="54"/>
      </bottom>
    </border>
    <border>
      <left>
        <color indexed="63"/>
      </left>
      <right style="thin">
        <color indexed="54"/>
      </right>
      <top style="hair">
        <color indexed="54"/>
      </top>
      <bottom style="hair">
        <color indexed="54"/>
      </bottom>
    </border>
    <border>
      <left>
        <color indexed="63"/>
      </left>
      <right style="thin">
        <color indexed="54"/>
      </right>
      <top style="hair">
        <color indexed="54"/>
      </top>
      <bottom style="thin">
        <color indexed="54"/>
      </bottom>
    </border>
    <border>
      <left style="thin">
        <color indexed="54"/>
      </left>
      <right style="thin">
        <color indexed="54"/>
      </right>
      <top style="thin">
        <color indexed="54"/>
      </top>
      <bottom style="hair">
        <color indexed="54"/>
      </bottom>
    </border>
    <border>
      <left style="thin">
        <color indexed="54"/>
      </left>
      <right style="thin">
        <color indexed="54"/>
      </right>
      <top style="hair">
        <color indexed="54"/>
      </top>
      <bottom style="hair">
        <color indexed="54"/>
      </bottom>
    </border>
    <border>
      <left style="thin">
        <color indexed="54"/>
      </left>
      <right style="thin">
        <color indexed="54"/>
      </right>
      <top style="hair">
        <color indexed="54"/>
      </top>
      <bottom style="thin">
        <color indexed="54"/>
      </bottom>
    </border>
    <border>
      <left>
        <color indexed="63"/>
      </left>
      <right style="thin">
        <color indexed="54"/>
      </right>
      <top style="thin">
        <color indexed="54"/>
      </top>
      <bottom style="hair">
        <color indexed="54"/>
      </bottom>
    </border>
    <border>
      <left style="thin">
        <color indexed="54"/>
      </left>
      <right style="hair">
        <color indexed="54"/>
      </right>
      <top style="hair">
        <color indexed="54"/>
      </top>
      <bottom>
        <color indexed="63"/>
      </bottom>
    </border>
    <border>
      <left style="thin">
        <color indexed="54"/>
      </left>
      <right style="thin">
        <color indexed="54"/>
      </right>
      <top style="hair">
        <color indexed="54"/>
      </top>
      <bottom>
        <color indexed="63"/>
      </bottom>
    </border>
    <border>
      <left style="thin">
        <color indexed="16"/>
      </left>
      <right>
        <color indexed="63"/>
      </right>
      <top style="thin">
        <color indexed="16"/>
      </top>
      <bottom style="thin">
        <color indexed="16"/>
      </bottom>
    </border>
    <border>
      <left>
        <color indexed="63"/>
      </left>
      <right>
        <color indexed="63"/>
      </right>
      <top style="thin">
        <color indexed="16"/>
      </top>
      <bottom style="thin">
        <color indexed="16"/>
      </bottom>
    </border>
    <border>
      <left style="thin">
        <color indexed="54"/>
      </left>
      <right style="thin">
        <color indexed="54"/>
      </right>
      <top style="thin">
        <color indexed="54"/>
      </top>
      <bottom>
        <color indexed="63"/>
      </bottom>
    </border>
    <border>
      <left style="thin">
        <color indexed="54"/>
      </left>
      <right style="thin">
        <color indexed="54"/>
      </right>
      <top>
        <color indexed="63"/>
      </top>
      <bottom>
        <color indexed="63"/>
      </bottom>
    </border>
    <border>
      <left style="medium">
        <color indexed="57"/>
      </left>
      <right>
        <color indexed="63"/>
      </right>
      <top style="medium">
        <color indexed="57"/>
      </top>
      <bottom style="medium">
        <color indexed="57"/>
      </bottom>
    </border>
    <border>
      <left>
        <color indexed="63"/>
      </left>
      <right>
        <color indexed="63"/>
      </right>
      <top style="medium">
        <color indexed="57"/>
      </top>
      <bottom style="medium">
        <color indexed="57"/>
      </bottom>
    </border>
    <border>
      <left>
        <color indexed="63"/>
      </left>
      <right style="medium">
        <color indexed="57"/>
      </right>
      <top style="medium">
        <color indexed="57"/>
      </top>
      <bottom style="medium">
        <color indexed="57"/>
      </bottom>
    </border>
    <border>
      <left style="thin">
        <color indexed="54"/>
      </left>
      <right style="thin">
        <color indexed="54"/>
      </right>
      <top style="thin">
        <color indexed="54"/>
      </top>
      <bottom style="thin">
        <color indexed="54"/>
      </bottom>
    </border>
    <border>
      <left style="medium">
        <color indexed="57"/>
      </left>
      <right>
        <color indexed="63"/>
      </right>
      <top style="medium">
        <color indexed="57"/>
      </top>
      <bottom>
        <color indexed="63"/>
      </bottom>
    </border>
    <border>
      <left>
        <color indexed="63"/>
      </left>
      <right>
        <color indexed="63"/>
      </right>
      <top style="medium">
        <color indexed="57"/>
      </top>
      <bottom>
        <color indexed="63"/>
      </bottom>
    </border>
    <border>
      <left>
        <color indexed="63"/>
      </left>
      <right style="medium">
        <color indexed="57"/>
      </right>
      <top>
        <color indexed="63"/>
      </top>
      <bottom>
        <color indexed="63"/>
      </bottom>
    </border>
    <border>
      <left style="medium">
        <color indexed="57"/>
      </left>
      <right>
        <color indexed="63"/>
      </right>
      <top>
        <color indexed="63"/>
      </top>
      <bottom style="medium">
        <color indexed="57"/>
      </bottom>
    </border>
    <border>
      <left>
        <color indexed="63"/>
      </left>
      <right>
        <color indexed="63"/>
      </right>
      <top>
        <color indexed="63"/>
      </top>
      <bottom style="medium">
        <color indexed="57"/>
      </bottom>
    </border>
    <border>
      <left>
        <color indexed="63"/>
      </left>
      <right style="medium">
        <color indexed="57"/>
      </right>
      <top>
        <color indexed="63"/>
      </top>
      <bottom style="medium">
        <color indexed="57"/>
      </bottom>
    </border>
    <border>
      <left style="thick">
        <color indexed="52"/>
      </left>
      <right>
        <color indexed="63"/>
      </right>
      <top style="thick">
        <color indexed="52"/>
      </top>
      <bottom style="thick">
        <color indexed="52"/>
      </bottom>
    </border>
    <border>
      <left>
        <color indexed="63"/>
      </left>
      <right>
        <color indexed="63"/>
      </right>
      <top style="thick">
        <color indexed="52"/>
      </top>
      <bottom style="thick">
        <color indexed="52"/>
      </bottom>
    </border>
    <border>
      <left>
        <color indexed="63"/>
      </left>
      <right style="thick">
        <color indexed="52"/>
      </right>
      <top style="thick">
        <color indexed="52"/>
      </top>
      <bottom style="thick">
        <color indexed="52"/>
      </bottom>
    </border>
    <border>
      <left style="hair">
        <color indexed="8"/>
      </left>
      <right style="hair">
        <color indexed="8"/>
      </right>
      <top style="hair">
        <color indexed="8"/>
      </top>
      <bottom style="hair">
        <color indexed="8"/>
      </bottom>
    </border>
    <border>
      <left style="thick">
        <color indexed="54"/>
      </left>
      <right>
        <color indexed="63"/>
      </right>
      <top style="thick">
        <color indexed="54"/>
      </top>
      <bottom style="thick">
        <color indexed="54"/>
      </bottom>
    </border>
    <border>
      <left>
        <color indexed="63"/>
      </left>
      <right>
        <color indexed="63"/>
      </right>
      <top style="thick">
        <color indexed="54"/>
      </top>
      <bottom style="thick">
        <color indexed="54"/>
      </bottom>
    </border>
    <border>
      <left>
        <color indexed="63"/>
      </left>
      <right style="thick">
        <color indexed="54"/>
      </right>
      <top style="thick">
        <color indexed="54"/>
      </top>
      <bottom style="thick">
        <color indexed="54"/>
      </bottom>
    </border>
    <border>
      <left>
        <color indexed="63"/>
      </left>
      <right style="hair">
        <color indexed="8"/>
      </right>
      <top style="hair">
        <color indexed="8"/>
      </top>
      <bottom style="hair">
        <color indexed="8"/>
      </bottom>
    </border>
    <border>
      <left style="hair">
        <color indexed="8"/>
      </left>
      <right>
        <color indexed="63"/>
      </right>
      <top style="hair">
        <color indexed="8"/>
      </top>
      <bottom style="hair">
        <color indexed="8"/>
      </bottom>
    </border>
    <border>
      <left>
        <color indexed="63"/>
      </left>
      <right style="thin">
        <color indexed="16"/>
      </right>
      <top style="thin">
        <color indexed="16"/>
      </top>
      <bottom>
        <color indexed="63"/>
      </bottom>
    </border>
    <border>
      <left style="thin">
        <color indexed="16"/>
      </left>
      <right>
        <color indexed="63"/>
      </right>
      <top>
        <color indexed="63"/>
      </top>
      <bottom style="thin">
        <color indexed="16"/>
      </bottom>
    </border>
    <border>
      <left>
        <color indexed="63"/>
      </left>
      <right>
        <color indexed="63"/>
      </right>
      <top>
        <color indexed="63"/>
      </top>
      <bottom style="thin">
        <color indexed="16"/>
      </bottom>
    </border>
    <border>
      <left>
        <color indexed="63"/>
      </left>
      <right style="thin">
        <color indexed="16"/>
      </right>
      <top>
        <color indexed="63"/>
      </top>
      <bottom style="thin">
        <color indexed="16"/>
      </bottom>
    </border>
    <border>
      <left style="medium">
        <color indexed="60"/>
      </left>
      <right>
        <color indexed="63"/>
      </right>
      <top style="medium">
        <color indexed="60"/>
      </top>
      <bottom>
        <color indexed="63"/>
      </bottom>
    </border>
    <border>
      <left>
        <color indexed="63"/>
      </left>
      <right>
        <color indexed="63"/>
      </right>
      <top style="medium">
        <color indexed="60"/>
      </top>
      <bottom>
        <color indexed="63"/>
      </bottom>
    </border>
    <border>
      <left>
        <color indexed="63"/>
      </left>
      <right style="medium">
        <color indexed="60"/>
      </right>
      <top style="medium">
        <color indexed="60"/>
      </top>
      <bottom>
        <color indexed="63"/>
      </bottom>
    </border>
    <border>
      <left style="medium">
        <color indexed="60"/>
      </left>
      <right>
        <color indexed="63"/>
      </right>
      <top>
        <color indexed="63"/>
      </top>
      <bottom>
        <color indexed="63"/>
      </bottom>
    </border>
    <border>
      <left>
        <color indexed="63"/>
      </left>
      <right style="medium">
        <color indexed="60"/>
      </right>
      <top>
        <color indexed="63"/>
      </top>
      <bottom>
        <color indexed="63"/>
      </bottom>
    </border>
    <border>
      <left style="thin">
        <color indexed="56"/>
      </left>
      <right>
        <color indexed="63"/>
      </right>
      <top style="thin">
        <color indexed="56"/>
      </top>
      <bottom>
        <color indexed="63"/>
      </bottom>
    </border>
    <border>
      <left>
        <color indexed="63"/>
      </left>
      <right>
        <color indexed="63"/>
      </right>
      <top style="thin">
        <color indexed="56"/>
      </top>
      <bottom>
        <color indexed="63"/>
      </bottom>
    </border>
    <border>
      <left>
        <color indexed="63"/>
      </left>
      <right style="thin">
        <color indexed="56"/>
      </right>
      <top style="thin">
        <color indexed="56"/>
      </top>
      <bottom>
        <color indexed="63"/>
      </bottom>
    </border>
    <border>
      <left>
        <color indexed="63"/>
      </left>
      <right>
        <color indexed="63"/>
      </right>
      <top style="hair">
        <color indexed="18"/>
      </top>
      <bottom>
        <color indexed="63"/>
      </bottom>
    </border>
    <border>
      <left>
        <color indexed="63"/>
      </left>
      <right>
        <color indexed="63"/>
      </right>
      <top>
        <color indexed="63"/>
      </top>
      <bottom style="dashed">
        <color indexed="18"/>
      </bottom>
    </border>
    <border>
      <left style="medium">
        <color indexed="60"/>
      </left>
      <right>
        <color indexed="63"/>
      </right>
      <top>
        <color indexed="63"/>
      </top>
      <bottom style="medium">
        <color indexed="60"/>
      </bottom>
    </border>
    <border>
      <left>
        <color indexed="63"/>
      </left>
      <right>
        <color indexed="63"/>
      </right>
      <top>
        <color indexed="63"/>
      </top>
      <bottom style="medium">
        <color indexed="60"/>
      </bottom>
    </border>
    <border>
      <left>
        <color indexed="63"/>
      </left>
      <right style="medium">
        <color indexed="60"/>
      </right>
      <top>
        <color indexed="63"/>
      </top>
      <bottom style="medium">
        <color indexed="60"/>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color indexed="63"/>
      </right>
      <top style="medium">
        <color indexed="8"/>
      </top>
      <bottom style="hair">
        <color indexed="8"/>
      </bottom>
    </border>
    <border>
      <left>
        <color indexed="63"/>
      </left>
      <right>
        <color indexed="63"/>
      </right>
      <top style="medium">
        <color indexed="8"/>
      </top>
      <bottom style="hair">
        <color indexed="8"/>
      </bottom>
    </border>
    <border>
      <left style="medium">
        <color indexed="8"/>
      </left>
      <right>
        <color indexed="63"/>
      </right>
      <top>
        <color indexed="63"/>
      </top>
      <bottom style="hair">
        <color indexed="8"/>
      </bottom>
    </border>
    <border>
      <left>
        <color indexed="63"/>
      </left>
      <right style="medium">
        <color indexed="8"/>
      </right>
      <top>
        <color indexed="63"/>
      </top>
      <bottom>
        <color indexed="63"/>
      </bottom>
    </border>
    <border>
      <left style="medium">
        <color indexed="8"/>
      </left>
      <right>
        <color indexed="63"/>
      </right>
      <top>
        <color indexed="63"/>
      </top>
      <bottom>
        <color indexed="63"/>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medium">
        <color indexed="16"/>
      </left>
      <right>
        <color indexed="63"/>
      </right>
      <top>
        <color indexed="63"/>
      </top>
      <bottom>
        <color indexed="63"/>
      </bottom>
    </border>
    <border>
      <left>
        <color indexed="63"/>
      </left>
      <right style="medium">
        <color indexed="16"/>
      </right>
      <top>
        <color indexed="63"/>
      </top>
      <bottom>
        <color indexed="63"/>
      </bottom>
    </border>
    <border>
      <left style="medium">
        <color indexed="16"/>
      </left>
      <right>
        <color indexed="63"/>
      </right>
      <top>
        <color indexed="63"/>
      </top>
      <bottom style="medium">
        <color indexed="16"/>
      </bottom>
    </border>
    <border>
      <left>
        <color indexed="63"/>
      </left>
      <right>
        <color indexed="63"/>
      </right>
      <top>
        <color indexed="63"/>
      </top>
      <bottom style="medium">
        <color indexed="16"/>
      </bottom>
    </border>
    <border>
      <left>
        <color indexed="63"/>
      </left>
      <right style="medium">
        <color indexed="16"/>
      </right>
      <top>
        <color indexed="63"/>
      </top>
      <bottom style="medium">
        <color indexed="16"/>
      </bottom>
    </border>
    <border>
      <left style="thin">
        <color indexed="56"/>
      </left>
      <right>
        <color indexed="63"/>
      </right>
      <top style="thin">
        <color indexed="56"/>
      </top>
      <bottom style="thin">
        <color indexed="56"/>
      </bottom>
    </border>
    <border>
      <left>
        <color indexed="63"/>
      </left>
      <right>
        <color indexed="63"/>
      </right>
      <top style="thin">
        <color indexed="56"/>
      </top>
      <bottom style="thin">
        <color indexed="56"/>
      </bottom>
    </border>
    <border>
      <left>
        <color indexed="63"/>
      </left>
      <right style="thin">
        <color indexed="56"/>
      </right>
      <top style="thin">
        <color indexed="56"/>
      </top>
      <bottom style="thin">
        <color indexed="56"/>
      </bottom>
    </border>
    <border>
      <left>
        <color indexed="63"/>
      </left>
      <right>
        <color indexed="63"/>
      </right>
      <top style="hair">
        <color indexed="18"/>
      </top>
      <bottom style="hair">
        <color indexed="18"/>
      </bottom>
    </border>
    <border>
      <left>
        <color indexed="63"/>
      </left>
      <right style="thin">
        <color indexed="54"/>
      </right>
      <top style="thin">
        <color indexed="54"/>
      </top>
      <bottom style="thin">
        <color indexed="54"/>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medium">
        <color indexed="8"/>
      </left>
      <right>
        <color indexed="63"/>
      </right>
      <top>
        <color indexed="63"/>
      </top>
      <bottom style="medium">
        <color indexed="8"/>
      </bottom>
    </border>
    <border>
      <left style="thin">
        <color indexed="8"/>
      </left>
      <right style="thin">
        <color indexed="8"/>
      </right>
      <top>
        <color indexed="63"/>
      </top>
      <bottom style="thin">
        <color indexed="8"/>
      </bottom>
    </border>
    <border>
      <left style="hair">
        <color indexed="54"/>
      </left>
      <right style="hair">
        <color indexed="54"/>
      </right>
      <top style="thin">
        <color indexed="8"/>
      </top>
      <bottom>
        <color indexed="63"/>
      </bottom>
    </border>
    <border>
      <left>
        <color indexed="63"/>
      </left>
      <right style="hair">
        <color indexed="54"/>
      </right>
      <top style="thin">
        <color indexed="8"/>
      </top>
      <bottom>
        <color indexed="63"/>
      </bottom>
    </border>
    <border>
      <left style="thin">
        <color indexed="54"/>
      </left>
      <right style="hair">
        <color indexed="54"/>
      </right>
      <top style="thin">
        <color indexed="8"/>
      </top>
      <bottom>
        <color indexed="63"/>
      </bottom>
    </border>
    <border>
      <left style="hair">
        <color indexed="54"/>
      </left>
      <right style="thin">
        <color indexed="54"/>
      </right>
      <top style="thin">
        <color indexed="8"/>
      </top>
      <bottom>
        <color indexed="63"/>
      </bottom>
    </border>
    <border>
      <left style="hair">
        <color indexed="54"/>
      </left>
      <right>
        <color indexed="63"/>
      </right>
      <top style="thin">
        <color indexed="8"/>
      </top>
      <bottom>
        <color indexed="63"/>
      </bottom>
    </border>
    <border>
      <left style="hair">
        <color indexed="54"/>
      </left>
      <right style="thin">
        <color indexed="8"/>
      </right>
      <top style="thin">
        <color indexed="8"/>
      </top>
      <bottom>
        <color indexed="63"/>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color indexed="63"/>
      </bottom>
    </border>
    <border>
      <left style="medium">
        <color indexed="8"/>
      </left>
      <right style="medium">
        <color indexed="8"/>
      </right>
      <top>
        <color indexed="63"/>
      </top>
      <bottom style="medium">
        <color indexed="8"/>
      </bottom>
    </border>
    <border>
      <left style="medium">
        <color indexed="8"/>
      </left>
      <right>
        <color indexed="63"/>
      </right>
      <top style="hair">
        <color indexed="54"/>
      </top>
      <bottom style="hair">
        <color indexed="54"/>
      </bottom>
    </border>
    <border>
      <left>
        <color indexed="63"/>
      </left>
      <right style="medium">
        <color indexed="8"/>
      </right>
      <top style="hair">
        <color indexed="54"/>
      </top>
      <bottom style="hair">
        <color indexed="54"/>
      </bottom>
    </border>
    <border>
      <left style="medium">
        <color indexed="8"/>
      </left>
      <right>
        <color indexed="63"/>
      </right>
      <top style="hair">
        <color indexed="54"/>
      </top>
      <bottom style="medium">
        <color indexed="8"/>
      </bottom>
    </border>
    <border>
      <left>
        <color indexed="63"/>
      </left>
      <right style="medium">
        <color indexed="8"/>
      </right>
      <top style="hair">
        <color indexed="54"/>
      </top>
      <bottom style="medium">
        <color indexed="8"/>
      </bottom>
    </border>
    <border>
      <left style="thin">
        <color indexed="8"/>
      </left>
      <right style="medium">
        <color indexed="8"/>
      </right>
      <top style="thin">
        <color indexed="8"/>
      </top>
      <bottom>
        <color indexed="63"/>
      </bottom>
    </border>
    <border>
      <left style="thin">
        <color indexed="57"/>
      </left>
      <right>
        <color indexed="63"/>
      </right>
      <top style="thin">
        <color indexed="57"/>
      </top>
      <bottom>
        <color indexed="63"/>
      </bottom>
    </border>
    <border>
      <left>
        <color indexed="63"/>
      </left>
      <right style="medium">
        <color indexed="54"/>
      </right>
      <top style="medium">
        <color indexed="54"/>
      </top>
      <bottom style="medium">
        <color indexed="54"/>
      </bottom>
    </border>
    <border>
      <left>
        <color indexed="63"/>
      </left>
      <right>
        <color indexed="63"/>
      </right>
      <top style="medium">
        <color indexed="54"/>
      </top>
      <bottom style="hair">
        <color indexed="54"/>
      </bottom>
    </border>
    <border>
      <left style="medium">
        <color indexed="8"/>
      </left>
      <right style="medium">
        <color indexed="8"/>
      </right>
      <top style="medium">
        <color indexed="8"/>
      </top>
      <bottom style="medium">
        <color indexed="8"/>
      </bottom>
    </border>
    <border>
      <left style="thin">
        <color indexed="8"/>
      </left>
      <right style="thin">
        <color indexed="18"/>
      </right>
      <top style="thin">
        <color indexed="18"/>
      </top>
      <bottom style="thin">
        <color indexed="18"/>
      </bottom>
    </border>
    <border>
      <left style="medium">
        <color indexed="60"/>
      </left>
      <right style="medium">
        <color indexed="60"/>
      </right>
      <top>
        <color indexed="63"/>
      </top>
      <bottom>
        <color indexed="63"/>
      </bottom>
    </border>
    <border>
      <left style="medium">
        <color indexed="16"/>
      </left>
      <right style="medium">
        <color indexed="16"/>
      </right>
      <top style="medium">
        <color indexed="16"/>
      </top>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7" fillId="2" borderId="0" applyNumberFormat="0" applyBorder="0" applyAlignment="0" applyProtection="0"/>
    <xf numFmtId="0" fontId="117" fillId="3" borderId="0" applyNumberFormat="0" applyBorder="0" applyAlignment="0" applyProtection="0"/>
    <xf numFmtId="0" fontId="117" fillId="4" borderId="0" applyNumberFormat="0" applyBorder="0" applyAlignment="0" applyProtection="0"/>
    <xf numFmtId="0" fontId="117" fillId="5" borderId="0" applyNumberFormat="0" applyBorder="0" applyAlignment="0" applyProtection="0"/>
    <xf numFmtId="0" fontId="117" fillId="6" borderId="0" applyNumberFormat="0" applyBorder="0" applyAlignment="0" applyProtection="0"/>
    <xf numFmtId="0" fontId="117" fillId="7" borderId="0" applyNumberFormat="0" applyBorder="0" applyAlignment="0" applyProtection="0"/>
    <xf numFmtId="0" fontId="117" fillId="8" borderId="0" applyNumberFormat="0" applyBorder="0" applyAlignment="0" applyProtection="0"/>
    <xf numFmtId="0" fontId="117" fillId="9" borderId="0" applyNumberFormat="0" applyBorder="0" applyAlignment="0" applyProtection="0"/>
    <xf numFmtId="0" fontId="117" fillId="10" borderId="0" applyNumberFormat="0" applyBorder="0" applyAlignment="0" applyProtection="0"/>
    <xf numFmtId="0" fontId="117" fillId="11" borderId="0" applyNumberFormat="0" applyBorder="0" applyAlignment="0" applyProtection="0"/>
    <xf numFmtId="0" fontId="117" fillId="12" borderId="0" applyNumberFormat="0" applyBorder="0" applyAlignment="0" applyProtection="0"/>
    <xf numFmtId="0" fontId="117" fillId="13" borderId="0" applyNumberFormat="0" applyBorder="0" applyAlignment="0" applyProtection="0"/>
    <xf numFmtId="0" fontId="118" fillId="14" borderId="0" applyNumberFormat="0" applyBorder="0" applyAlignment="0" applyProtection="0"/>
    <xf numFmtId="0" fontId="118" fillId="15" borderId="0" applyNumberFormat="0" applyBorder="0" applyAlignment="0" applyProtection="0"/>
    <xf numFmtId="0" fontId="118" fillId="16" borderId="0" applyNumberFormat="0" applyBorder="0" applyAlignment="0" applyProtection="0"/>
    <xf numFmtId="0" fontId="118" fillId="17" borderId="0" applyNumberFormat="0" applyBorder="0" applyAlignment="0" applyProtection="0"/>
    <xf numFmtId="0" fontId="118" fillId="18" borderId="0" applyNumberFormat="0" applyBorder="0" applyAlignment="0" applyProtection="0"/>
    <xf numFmtId="0" fontId="118" fillId="19" borderId="0" applyNumberFormat="0" applyBorder="0" applyAlignment="0" applyProtection="0"/>
    <xf numFmtId="0" fontId="118" fillId="20" borderId="0" applyNumberFormat="0" applyBorder="0" applyAlignment="0" applyProtection="0"/>
    <xf numFmtId="0" fontId="118" fillId="21" borderId="0" applyNumberFormat="0" applyBorder="0" applyAlignment="0" applyProtection="0"/>
    <xf numFmtId="0" fontId="118" fillId="22" borderId="0" applyNumberFormat="0" applyBorder="0" applyAlignment="0" applyProtection="0"/>
    <xf numFmtId="0" fontId="118" fillId="23" borderId="0" applyNumberFormat="0" applyBorder="0" applyAlignment="0" applyProtection="0"/>
    <xf numFmtId="0" fontId="118" fillId="24" borderId="0" applyNumberFormat="0" applyBorder="0" applyAlignment="0" applyProtection="0"/>
    <xf numFmtId="0" fontId="118" fillId="25" borderId="0" applyNumberFormat="0" applyBorder="0" applyAlignment="0" applyProtection="0"/>
    <xf numFmtId="0" fontId="119" fillId="0" borderId="0" applyNumberFormat="0" applyFill="0" applyBorder="0" applyAlignment="0" applyProtection="0"/>
    <xf numFmtId="0" fontId="120" fillId="26" borderId="1" applyNumberFormat="0" applyAlignment="0" applyProtection="0"/>
    <xf numFmtId="0" fontId="121" fillId="0" borderId="2" applyNumberFormat="0" applyFill="0" applyAlignment="0" applyProtection="0"/>
    <xf numFmtId="0" fontId="122" fillId="27" borderId="1" applyNumberFormat="0" applyAlignment="0" applyProtection="0"/>
    <xf numFmtId="164" fontId="0" fillId="0" borderId="0" applyFill="0" applyBorder="0" applyAlignment="0" applyProtection="0"/>
    <xf numFmtId="0" fontId="123" fillId="28" borderId="0" applyNumberFormat="0" applyBorder="0" applyAlignment="0" applyProtection="0"/>
    <xf numFmtId="0" fontId="124" fillId="0" borderId="0" applyNumberFormat="0" applyFill="0" applyBorder="0" applyAlignment="0" applyProtection="0"/>
    <xf numFmtId="0" fontId="125" fillId="0" borderId="0" applyNumberFormat="0" applyFill="0" applyBorder="0" applyAlignment="0" applyProtection="0"/>
    <xf numFmtId="188" fontId="0" fillId="0" borderId="0" applyFill="0" applyBorder="0" applyAlignment="0" applyProtection="0"/>
    <xf numFmtId="41" fontId="0" fillId="0" borderId="0" applyFill="0" applyBorder="0" applyAlignment="0" applyProtection="0"/>
    <xf numFmtId="0" fontId="0" fillId="0" borderId="0">
      <alignment/>
      <protection/>
    </xf>
    <xf numFmtId="0" fontId="0" fillId="0" borderId="0">
      <alignment/>
      <protection/>
    </xf>
    <xf numFmtId="44" fontId="0" fillId="0" borderId="0" applyFill="0" applyBorder="0" applyAlignment="0" applyProtection="0"/>
    <xf numFmtId="42" fontId="0" fillId="0" borderId="0" applyFill="0" applyBorder="0" applyAlignment="0" applyProtection="0"/>
    <xf numFmtId="0" fontId="126" fillId="29" borderId="0" applyNumberFormat="0" applyBorder="0" applyAlignment="0" applyProtection="0"/>
    <xf numFmtId="0" fontId="0" fillId="0" borderId="0">
      <alignment/>
      <protection/>
    </xf>
    <xf numFmtId="0" fontId="0" fillId="30" borderId="3" applyNumberFormat="0" applyFont="0" applyAlignment="0" applyProtection="0"/>
    <xf numFmtId="9" fontId="0" fillId="0" borderId="0" applyFill="0" applyBorder="0" applyAlignment="0" applyProtection="0"/>
    <xf numFmtId="0" fontId="127" fillId="31" borderId="0" applyNumberFormat="0" applyBorder="0" applyAlignment="0" applyProtection="0"/>
    <xf numFmtId="0" fontId="128" fillId="26" borderId="4" applyNumberFormat="0" applyAlignment="0" applyProtection="0"/>
    <xf numFmtId="0" fontId="129" fillId="0" borderId="0" applyNumberFormat="0" applyFill="0" applyBorder="0" applyAlignment="0" applyProtection="0"/>
    <xf numFmtId="0" fontId="130" fillId="0" borderId="0" applyNumberFormat="0" applyFill="0" applyBorder="0" applyAlignment="0" applyProtection="0"/>
    <xf numFmtId="0" fontId="131" fillId="0" borderId="5" applyNumberFormat="0" applyFill="0" applyAlignment="0" applyProtection="0"/>
    <xf numFmtId="0" fontId="132" fillId="0" borderId="6" applyNumberFormat="0" applyFill="0" applyAlignment="0" applyProtection="0"/>
    <xf numFmtId="0" fontId="133" fillId="0" borderId="7" applyNumberFormat="0" applyFill="0" applyAlignment="0" applyProtection="0"/>
    <xf numFmtId="0" fontId="133" fillId="0" borderId="0" applyNumberFormat="0" applyFill="0" applyBorder="0" applyAlignment="0" applyProtection="0"/>
    <xf numFmtId="0" fontId="134" fillId="0" borderId="8" applyNumberFormat="0" applyFill="0" applyAlignment="0" applyProtection="0"/>
    <xf numFmtId="0" fontId="135" fillId="32" borderId="9" applyNumberFormat="0" applyAlignment="0" applyProtection="0"/>
  </cellStyleXfs>
  <cellXfs count="1419">
    <xf numFmtId="0" fontId="0" fillId="0" borderId="0" xfId="0" applyAlignment="1">
      <alignment/>
    </xf>
    <xf numFmtId="0" fontId="1" fillId="0" borderId="0" xfId="0" applyFont="1" applyAlignment="1" applyProtection="1">
      <alignment horizontal="left" vertical="top"/>
      <protection locked="0"/>
    </xf>
    <xf numFmtId="0" fontId="1" fillId="0" borderId="0" xfId="0" applyFont="1" applyAlignment="1" applyProtection="1">
      <alignment horizontal="right" vertical="top" indent="1"/>
      <protection locked="0"/>
    </xf>
    <xf numFmtId="0" fontId="1" fillId="0" borderId="0" xfId="0" applyFont="1" applyAlignment="1" applyProtection="1">
      <alignment vertical="top"/>
      <protection locked="0"/>
    </xf>
    <xf numFmtId="0" fontId="0" fillId="0" borderId="0" xfId="0" applyAlignment="1" applyProtection="1">
      <alignment vertical="top"/>
      <protection/>
    </xf>
    <xf numFmtId="0" fontId="2" fillId="0" borderId="0" xfId="0" applyFont="1" applyAlignment="1" applyProtection="1">
      <alignment vertical="top" wrapText="1"/>
      <protection/>
    </xf>
    <xf numFmtId="0" fontId="2" fillId="0" borderId="0" xfId="0" applyFont="1" applyAlignment="1" applyProtection="1">
      <alignment horizontal="right" vertical="top" wrapText="1" indent="1"/>
      <protection/>
    </xf>
    <xf numFmtId="0" fontId="1" fillId="0" borderId="0" xfId="0" applyFont="1" applyAlignment="1" applyProtection="1">
      <alignment horizontal="left" vertical="top" indent="1"/>
      <protection/>
    </xf>
    <xf numFmtId="0" fontId="3" fillId="0" borderId="0" xfId="0" applyFont="1" applyAlignment="1" applyProtection="1">
      <alignment/>
      <protection/>
    </xf>
    <xf numFmtId="0" fontId="3" fillId="0" borderId="0" xfId="0" applyFont="1" applyAlignment="1" applyProtection="1">
      <alignment horizontal="right" indent="1"/>
      <protection/>
    </xf>
    <xf numFmtId="0" fontId="4" fillId="0" borderId="0" xfId="0" applyFont="1" applyAlignment="1" applyProtection="1">
      <alignment horizontal="left" indent="1"/>
      <protection/>
    </xf>
    <xf numFmtId="0" fontId="0" fillId="0" borderId="0" xfId="0" applyFont="1" applyAlignment="1" applyProtection="1">
      <alignment/>
      <protection/>
    </xf>
    <xf numFmtId="0" fontId="5" fillId="0" borderId="0" xfId="0" applyFont="1" applyAlignment="1" applyProtection="1">
      <alignment/>
      <protection/>
    </xf>
    <xf numFmtId="0" fontId="5" fillId="0" borderId="0" xfId="0" applyFont="1" applyAlignment="1" applyProtection="1">
      <alignment horizontal="right" indent="1"/>
      <protection/>
    </xf>
    <xf numFmtId="0" fontId="6" fillId="0" borderId="0" xfId="0" applyFont="1" applyAlignment="1" applyProtection="1">
      <alignment horizontal="left" indent="1"/>
      <protection/>
    </xf>
    <xf numFmtId="0" fontId="0" fillId="0" borderId="0" xfId="0" applyFont="1" applyAlignment="1" applyProtection="1">
      <alignment vertical="top"/>
      <protection/>
    </xf>
    <xf numFmtId="0" fontId="8" fillId="33" borderId="10" xfId="0" applyFont="1" applyFill="1" applyBorder="1" applyAlignment="1" applyProtection="1">
      <alignment vertical="center" wrapText="1"/>
      <protection/>
    </xf>
    <xf numFmtId="0" fontId="8" fillId="33" borderId="11" xfId="0" applyFont="1" applyFill="1" applyBorder="1" applyAlignment="1" applyProtection="1">
      <alignment horizontal="left" vertical="center" wrapText="1" indent="1"/>
      <protection/>
    </xf>
    <xf numFmtId="0" fontId="8" fillId="33" borderId="11" xfId="0" applyFont="1" applyFill="1" applyBorder="1" applyAlignment="1" applyProtection="1">
      <alignment vertical="center"/>
      <protection/>
    </xf>
    <xf numFmtId="0" fontId="9" fillId="0" borderId="0" xfId="0" applyFont="1" applyAlignment="1" applyProtection="1">
      <alignment vertical="top"/>
      <protection/>
    </xf>
    <xf numFmtId="0" fontId="8" fillId="34" borderId="0" xfId="0" applyNumberFormat="1" applyFont="1" applyFill="1" applyAlignment="1" applyProtection="1">
      <alignment horizontal="left" vertical="top"/>
      <protection/>
    </xf>
    <xf numFmtId="165" fontId="8" fillId="34" borderId="0" xfId="0" applyNumberFormat="1" applyFont="1" applyFill="1" applyAlignment="1" applyProtection="1">
      <alignment horizontal="right" vertical="top" indent="1"/>
      <protection/>
    </xf>
    <xf numFmtId="0" fontId="10" fillId="34" borderId="0" xfId="0" applyFont="1" applyFill="1" applyAlignment="1" applyProtection="1">
      <alignment horizontal="left" vertical="top" wrapText="1"/>
      <protection/>
    </xf>
    <xf numFmtId="0" fontId="9" fillId="0" borderId="0" xfId="0" applyFont="1" applyFill="1" applyAlignment="1" applyProtection="1">
      <alignment vertical="top"/>
      <protection/>
    </xf>
    <xf numFmtId="0" fontId="2" fillId="0" borderId="12" xfId="0" applyNumberFormat="1" applyFont="1" applyBorder="1" applyAlignment="1" applyProtection="1">
      <alignment horizontal="left" vertical="top"/>
      <protection/>
    </xf>
    <xf numFmtId="14" fontId="2" fillId="0" borderId="12" xfId="0" applyNumberFormat="1" applyFont="1" applyBorder="1" applyAlignment="1" applyProtection="1">
      <alignment horizontal="right" vertical="top" indent="1"/>
      <protection/>
    </xf>
    <xf numFmtId="0" fontId="1" fillId="0" borderId="12" xfId="0" applyFont="1" applyBorder="1" applyAlignment="1" applyProtection="1">
      <alignment vertical="top" wrapText="1"/>
      <protection/>
    </xf>
    <xf numFmtId="0" fontId="1" fillId="0" borderId="12" xfId="0" applyFont="1" applyBorder="1" applyAlignment="1" applyProtection="1">
      <alignment vertical="top"/>
      <protection/>
    </xf>
    <xf numFmtId="1" fontId="2" fillId="0" borderId="12" xfId="0" applyNumberFormat="1" applyFont="1" applyBorder="1" applyAlignment="1" applyProtection="1">
      <alignment horizontal="left" vertical="top"/>
      <protection/>
    </xf>
    <xf numFmtId="166" fontId="2" fillId="0" borderId="13" xfId="0" applyNumberFormat="1" applyFont="1" applyBorder="1" applyAlignment="1" applyProtection="1">
      <alignment horizontal="left" vertical="top"/>
      <protection/>
    </xf>
    <xf numFmtId="14" fontId="2" fillId="0" borderId="13" xfId="0" applyNumberFormat="1" applyFont="1" applyBorder="1" applyAlignment="1" applyProtection="1">
      <alignment horizontal="right" vertical="top" indent="1"/>
      <protection/>
    </xf>
    <xf numFmtId="0" fontId="1" fillId="0" borderId="13" xfId="0" applyFont="1" applyBorder="1" applyAlignment="1" applyProtection="1">
      <alignment vertical="top" wrapText="1"/>
      <protection/>
    </xf>
    <xf numFmtId="0" fontId="2" fillId="0" borderId="12" xfId="0" applyFont="1" applyBorder="1" applyAlignment="1" applyProtection="1">
      <alignment horizontal="left" vertical="top"/>
      <protection/>
    </xf>
    <xf numFmtId="0" fontId="2" fillId="0" borderId="13" xfId="0" applyFont="1" applyBorder="1" applyAlignment="1" applyProtection="1">
      <alignment horizontal="left" vertical="top"/>
      <protection/>
    </xf>
    <xf numFmtId="0" fontId="1" fillId="0" borderId="13" xfId="0" applyFont="1" applyBorder="1" applyAlignment="1" applyProtection="1">
      <alignment vertical="top"/>
      <protection/>
    </xf>
    <xf numFmtId="0" fontId="2" fillId="35" borderId="13" xfId="0" applyFont="1" applyFill="1" applyBorder="1" applyAlignment="1" applyProtection="1">
      <alignment horizontal="left" vertical="top"/>
      <protection/>
    </xf>
    <xf numFmtId="14" fontId="2" fillId="35" borderId="12" xfId="0" applyNumberFormat="1" applyFont="1" applyFill="1" applyBorder="1" applyAlignment="1" applyProtection="1">
      <alignment horizontal="right" vertical="top" indent="1"/>
      <protection/>
    </xf>
    <xf numFmtId="0" fontId="1" fillId="35" borderId="13" xfId="0" applyFont="1" applyFill="1" applyBorder="1" applyAlignment="1" applyProtection="1">
      <alignment vertical="top"/>
      <protection/>
    </xf>
    <xf numFmtId="14" fontId="2" fillId="35" borderId="14" xfId="0" applyNumberFormat="1" applyFont="1" applyFill="1" applyBorder="1" applyAlignment="1" applyProtection="1">
      <alignment horizontal="right" vertical="top" indent="1"/>
      <protection/>
    </xf>
    <xf numFmtId="0" fontId="1" fillId="35" borderId="12" xfId="0" applyFont="1" applyFill="1" applyBorder="1" applyAlignment="1" applyProtection="1">
      <alignment vertical="top" wrapText="1"/>
      <protection/>
    </xf>
    <xf numFmtId="0" fontId="1" fillId="35" borderId="12" xfId="0" applyFont="1" applyFill="1" applyBorder="1" applyAlignment="1" applyProtection="1">
      <alignment horizontal="left" vertical="top"/>
      <protection/>
    </xf>
    <xf numFmtId="0" fontId="1" fillId="0" borderId="0" xfId="0" applyFont="1" applyAlignment="1" applyProtection="1">
      <alignment vertical="top"/>
      <protection/>
    </xf>
    <xf numFmtId="0" fontId="1" fillId="0" borderId="0" xfId="0" applyFont="1" applyAlignment="1" applyProtection="1">
      <alignment horizontal="right" vertical="top"/>
      <protection/>
    </xf>
    <xf numFmtId="0" fontId="1" fillId="0" borderId="0" xfId="0" applyFont="1" applyAlignment="1" applyProtection="1">
      <alignment horizontal="right" wrapText="1"/>
      <protection/>
    </xf>
    <xf numFmtId="14" fontId="1" fillId="0" borderId="0" xfId="0" applyNumberFormat="1" applyFont="1" applyAlignment="1" applyProtection="1">
      <alignment horizontal="right" vertical="top" wrapText="1"/>
      <protection/>
    </xf>
    <xf numFmtId="0" fontId="12" fillId="0" borderId="0" xfId="0" applyFont="1" applyAlignment="1" applyProtection="1">
      <alignment vertical="top"/>
      <protection/>
    </xf>
    <xf numFmtId="0" fontId="6" fillId="0" borderId="0" xfId="0" applyFont="1" applyAlignment="1" applyProtection="1">
      <alignment horizontal="left" vertical="center" indent="1"/>
      <protection/>
    </xf>
    <xf numFmtId="0" fontId="0" fillId="0" borderId="0" xfId="0" applyFont="1" applyAlignment="1" applyProtection="1">
      <alignment horizontal="right" vertical="center"/>
      <protection/>
    </xf>
    <xf numFmtId="0" fontId="0" fillId="0" borderId="0" xfId="0" applyFont="1" applyAlignment="1" applyProtection="1">
      <alignment vertical="center"/>
      <protection/>
    </xf>
    <xf numFmtId="0" fontId="13" fillId="33" borderId="10" xfId="0" applyFont="1" applyFill="1" applyBorder="1" applyAlignment="1" applyProtection="1">
      <alignment vertical="center" wrapText="1"/>
      <protection/>
    </xf>
    <xf numFmtId="0" fontId="13" fillId="33" borderId="11" xfId="0" applyFont="1" applyFill="1" applyBorder="1" applyAlignment="1" applyProtection="1">
      <alignment vertical="center"/>
      <protection/>
    </xf>
    <xf numFmtId="0" fontId="13" fillId="33" borderId="15" xfId="0" applyFont="1" applyFill="1" applyBorder="1" applyAlignment="1" applyProtection="1">
      <alignment horizontal="left" vertical="center" indent="1"/>
      <protection/>
    </xf>
    <xf numFmtId="0" fontId="14" fillId="0" borderId="16" xfId="0" applyFont="1" applyFill="1" applyBorder="1" applyAlignment="1" applyProtection="1">
      <alignment vertical="top" wrapText="1"/>
      <protection/>
    </xf>
    <xf numFmtId="0" fontId="1" fillId="0" borderId="16" xfId="0" applyFont="1" applyFill="1" applyBorder="1" applyAlignment="1" applyProtection="1">
      <alignment vertical="top" wrapText="1"/>
      <protection/>
    </xf>
    <xf numFmtId="0" fontId="15" fillId="0" borderId="16" xfId="0" applyFont="1" applyFill="1" applyBorder="1" applyAlignment="1" applyProtection="1">
      <alignment horizontal="left" vertical="top" wrapText="1" indent="1"/>
      <protection/>
    </xf>
    <xf numFmtId="0" fontId="1" fillId="0" borderId="0" xfId="0" applyFont="1" applyFill="1" applyAlignment="1" applyProtection="1">
      <alignment vertical="top"/>
      <protection/>
    </xf>
    <xf numFmtId="0" fontId="14" fillId="0" borderId="17" xfId="0" applyFont="1" applyFill="1" applyBorder="1" applyAlignment="1" applyProtection="1">
      <alignment vertical="top" wrapText="1"/>
      <protection/>
    </xf>
    <xf numFmtId="0" fontId="1" fillId="0" borderId="17" xfId="0" applyFont="1" applyFill="1" applyBorder="1" applyAlignment="1" applyProtection="1">
      <alignment vertical="top" wrapText="1"/>
      <protection/>
    </xf>
    <xf numFmtId="0" fontId="15" fillId="0" borderId="17" xfId="0" applyFont="1" applyFill="1" applyBorder="1" applyAlignment="1" applyProtection="1">
      <alignment horizontal="left" vertical="top" wrapText="1" indent="1"/>
      <protection/>
    </xf>
    <xf numFmtId="0" fontId="16" fillId="0" borderId="16" xfId="0" applyFont="1" applyFill="1" applyBorder="1" applyAlignment="1" applyProtection="1">
      <alignment vertical="top" wrapText="1"/>
      <protection/>
    </xf>
    <xf numFmtId="0" fontId="14" fillId="0" borderId="18" xfId="0" applyFont="1" applyFill="1" applyBorder="1" applyAlignment="1" applyProtection="1">
      <alignment vertical="top" wrapText="1"/>
      <protection/>
    </xf>
    <xf numFmtId="0" fontId="1" fillId="0" borderId="18" xfId="0" applyFont="1" applyFill="1" applyBorder="1" applyAlignment="1" applyProtection="1">
      <alignment vertical="top" wrapText="1"/>
      <protection/>
    </xf>
    <xf numFmtId="0" fontId="15" fillId="0" borderId="18" xfId="0" applyFont="1" applyFill="1" applyBorder="1" applyAlignment="1" applyProtection="1">
      <alignment horizontal="left" vertical="top" wrapText="1" indent="1"/>
      <protection/>
    </xf>
    <xf numFmtId="0" fontId="1" fillId="0" borderId="0" xfId="0" applyFont="1" applyFill="1" applyBorder="1" applyAlignment="1" applyProtection="1">
      <alignment vertical="top"/>
      <protection/>
    </xf>
    <xf numFmtId="0" fontId="15" fillId="0" borderId="16" xfId="0" applyFont="1" applyFill="1" applyBorder="1" applyAlignment="1" applyProtection="1">
      <alignment vertical="top" wrapText="1"/>
      <protection/>
    </xf>
    <xf numFmtId="0" fontId="14" fillId="0" borderId="18" xfId="0" applyFont="1" applyBorder="1" applyAlignment="1" applyProtection="1">
      <alignment vertical="top"/>
      <protection/>
    </xf>
    <xf numFmtId="0" fontId="1" fillId="0" borderId="18" xfId="0" applyFont="1" applyBorder="1" applyAlignment="1" applyProtection="1">
      <alignment vertical="top"/>
      <protection/>
    </xf>
    <xf numFmtId="0" fontId="1" fillId="0" borderId="0" xfId="0" applyFont="1" applyAlignment="1" applyProtection="1">
      <alignment vertical="top" wrapText="1"/>
      <protection/>
    </xf>
    <xf numFmtId="0" fontId="1" fillId="0" borderId="0" xfId="0" applyFont="1" applyAlignment="1" applyProtection="1">
      <alignment horizontal="left" vertical="top"/>
      <protection/>
    </xf>
    <xf numFmtId="0" fontId="17" fillId="0" borderId="0" xfId="0" applyFont="1" applyAlignment="1" applyProtection="1">
      <alignment horizontal="left" vertical="top" indent="1"/>
      <protection/>
    </xf>
    <xf numFmtId="0" fontId="17" fillId="0" borderId="0" xfId="0" applyFont="1" applyAlignment="1" applyProtection="1">
      <alignment horizontal="left" vertical="top" wrapText="1"/>
      <protection/>
    </xf>
    <xf numFmtId="0" fontId="9" fillId="0" borderId="0" xfId="0" applyFont="1" applyAlignment="1" applyProtection="1">
      <alignment horizontal="left" vertical="top" wrapText="1"/>
      <protection/>
    </xf>
    <xf numFmtId="0" fontId="4" fillId="0" borderId="0" xfId="0" applyFont="1" applyAlignment="1" applyProtection="1">
      <alignment horizontal="left" vertical="top"/>
      <protection/>
    </xf>
    <xf numFmtId="167" fontId="1" fillId="0" borderId="0" xfId="0" applyNumberFormat="1" applyFont="1" applyAlignment="1" applyProtection="1">
      <alignment horizontal="right" wrapText="1"/>
      <protection/>
    </xf>
    <xf numFmtId="167" fontId="9" fillId="0" borderId="0" xfId="0" applyNumberFormat="1" applyFont="1" applyAlignment="1" applyProtection="1">
      <alignment horizontal="right" wrapText="1"/>
      <protection/>
    </xf>
    <xf numFmtId="14" fontId="9" fillId="0" borderId="0" xfId="0" applyNumberFormat="1" applyFont="1" applyAlignment="1" applyProtection="1">
      <alignment horizontal="right" vertical="top" wrapText="1"/>
      <protection/>
    </xf>
    <xf numFmtId="0" fontId="7" fillId="0" borderId="0" xfId="0" applyFont="1" applyAlignment="1" applyProtection="1">
      <alignment vertical="top"/>
      <protection/>
    </xf>
    <xf numFmtId="0" fontId="5" fillId="0" borderId="0" xfId="0" applyFont="1" applyAlignment="1" applyProtection="1">
      <alignment vertical="top"/>
      <protection/>
    </xf>
    <xf numFmtId="0" fontId="18" fillId="36" borderId="19" xfId="0" applyFont="1" applyFill="1" applyBorder="1" applyAlignment="1" applyProtection="1">
      <alignment vertical="top"/>
      <protection/>
    </xf>
    <xf numFmtId="0" fontId="13" fillId="36" borderId="20" xfId="0" applyFont="1" applyFill="1" applyBorder="1" applyAlignment="1" applyProtection="1">
      <alignment horizontal="left" vertical="top" wrapText="1"/>
      <protection/>
    </xf>
    <xf numFmtId="0" fontId="19" fillId="36" borderId="20" xfId="0" applyFont="1" applyFill="1" applyBorder="1" applyAlignment="1" applyProtection="1">
      <alignment horizontal="left" vertical="top" wrapText="1"/>
      <protection locked="0"/>
    </xf>
    <xf numFmtId="0" fontId="20" fillId="36" borderId="20" xfId="0" applyFont="1" applyFill="1" applyBorder="1" applyAlignment="1" applyProtection="1">
      <alignment horizontal="left" vertical="top" wrapText="1" indent="1"/>
      <protection/>
    </xf>
    <xf numFmtId="0" fontId="13" fillId="36" borderId="21" xfId="0" applyFont="1" applyFill="1" applyBorder="1" applyAlignment="1" applyProtection="1">
      <alignment horizontal="left" vertical="top" wrapText="1"/>
      <protection/>
    </xf>
    <xf numFmtId="0" fontId="8" fillId="36" borderId="21" xfId="0" applyFont="1" applyFill="1" applyBorder="1" applyAlignment="1" applyProtection="1">
      <alignment horizontal="left" vertical="top" wrapText="1"/>
      <protection/>
    </xf>
    <xf numFmtId="0" fontId="14" fillId="0" borderId="22" xfId="0" applyFont="1" applyFill="1" applyBorder="1" applyAlignment="1" applyProtection="1">
      <alignment vertical="top" wrapText="1"/>
      <protection/>
    </xf>
    <xf numFmtId="0" fontId="1" fillId="0" borderId="22" xfId="0" applyFont="1" applyFill="1" applyBorder="1" applyAlignment="1" applyProtection="1">
      <alignment horizontal="left" vertical="top"/>
      <protection/>
    </xf>
    <xf numFmtId="0" fontId="0" fillId="35" borderId="22" xfId="0" applyFont="1" applyFill="1" applyBorder="1" applyAlignment="1" applyProtection="1">
      <alignment horizontal="left" vertical="top" wrapText="1"/>
      <protection locked="0"/>
    </xf>
    <xf numFmtId="0" fontId="17" fillId="0" borderId="22" xfId="0" applyFont="1" applyFill="1" applyBorder="1" applyAlignment="1" applyProtection="1">
      <alignment horizontal="left" vertical="top" indent="1"/>
      <protection/>
    </xf>
    <xf numFmtId="0" fontId="17" fillId="0" borderId="22" xfId="0" applyFont="1" applyFill="1" applyBorder="1" applyAlignment="1" applyProtection="1">
      <alignment horizontal="left" vertical="top" wrapText="1"/>
      <protection/>
    </xf>
    <xf numFmtId="0" fontId="21" fillId="0" borderId="0" xfId="0" applyFont="1" applyFill="1" applyBorder="1" applyAlignment="1" applyProtection="1">
      <alignment horizontal="left" vertical="top" wrapText="1"/>
      <protection/>
    </xf>
    <xf numFmtId="0" fontId="1" fillId="0" borderId="18" xfId="0" applyFont="1" applyFill="1" applyBorder="1" applyAlignment="1" applyProtection="1">
      <alignment horizontal="left" vertical="top"/>
      <protection/>
    </xf>
    <xf numFmtId="0" fontId="0" fillId="35" borderId="18" xfId="0" applyFont="1" applyFill="1" applyBorder="1" applyAlignment="1" applyProtection="1">
      <alignment horizontal="left" vertical="top" wrapText="1"/>
      <protection locked="0"/>
    </xf>
    <xf numFmtId="0" fontId="17" fillId="0" borderId="18" xfId="0" applyFont="1" applyFill="1" applyBorder="1" applyAlignment="1" applyProtection="1">
      <alignment horizontal="left" vertical="top" indent="1"/>
      <protection/>
    </xf>
    <xf numFmtId="0" fontId="17" fillId="0" borderId="18" xfId="0" applyFont="1" applyFill="1" applyBorder="1" applyAlignment="1" applyProtection="1">
      <alignment horizontal="left" vertical="top" wrapText="1"/>
      <protection/>
    </xf>
    <xf numFmtId="0" fontId="18" fillId="0" borderId="0" xfId="0" applyFont="1" applyFill="1" applyBorder="1" applyAlignment="1" applyProtection="1">
      <alignment horizontal="left" vertical="top" wrapText="1"/>
      <protection/>
    </xf>
    <xf numFmtId="0" fontId="18" fillId="35" borderId="18" xfId="0" applyFont="1" applyFill="1" applyBorder="1" applyAlignment="1" applyProtection="1">
      <alignment horizontal="left" vertical="center" indent="1"/>
      <protection locked="0"/>
    </xf>
    <xf numFmtId="0" fontId="14" fillId="0" borderId="23" xfId="0" applyFont="1" applyFill="1" applyBorder="1" applyAlignment="1" applyProtection="1">
      <alignment vertical="top" wrapText="1"/>
      <protection/>
    </xf>
    <xf numFmtId="0" fontId="1" fillId="0" borderId="23" xfId="0" applyFont="1" applyFill="1" applyBorder="1" applyAlignment="1" applyProtection="1">
      <alignment horizontal="left" vertical="top"/>
      <protection/>
    </xf>
    <xf numFmtId="0" fontId="0" fillId="35" borderId="23" xfId="0" applyFont="1" applyFill="1" applyBorder="1" applyAlignment="1" applyProtection="1">
      <alignment horizontal="left" vertical="top" wrapText="1"/>
      <protection locked="0"/>
    </xf>
    <xf numFmtId="0" fontId="17" fillId="0" borderId="23" xfId="0" applyFont="1" applyFill="1" applyBorder="1" applyAlignment="1" applyProtection="1">
      <alignment horizontal="left" vertical="top" indent="1"/>
      <protection/>
    </xf>
    <xf numFmtId="0" fontId="17" fillId="0" borderId="0" xfId="0" applyFont="1" applyFill="1" applyBorder="1" applyAlignment="1" applyProtection="1">
      <alignment horizontal="left" vertical="top" wrapText="1"/>
      <protection/>
    </xf>
    <xf numFmtId="0" fontId="13" fillId="33" borderId="24" xfId="0" applyFont="1" applyFill="1" applyBorder="1" applyAlignment="1" applyProtection="1">
      <alignment vertical="top" wrapText="1"/>
      <protection/>
    </xf>
    <xf numFmtId="0" fontId="13" fillId="33" borderId="25" xfId="0" applyFont="1" applyFill="1" applyBorder="1" applyAlignment="1" applyProtection="1">
      <alignment horizontal="left" vertical="top"/>
      <protection/>
    </xf>
    <xf numFmtId="0" fontId="19" fillId="33" borderId="25" xfId="0" applyFont="1" applyFill="1" applyBorder="1" applyAlignment="1" applyProtection="1">
      <alignment horizontal="left" vertical="top"/>
      <protection locked="0"/>
    </xf>
    <xf numFmtId="0" fontId="22" fillId="33" borderId="25" xfId="0" applyFont="1" applyFill="1" applyBorder="1" applyAlignment="1" applyProtection="1">
      <alignment horizontal="left" vertical="top" indent="1"/>
      <protection/>
    </xf>
    <xf numFmtId="0" fontId="13" fillId="33" borderId="25" xfId="0" applyFont="1" applyFill="1" applyBorder="1" applyAlignment="1" applyProtection="1">
      <alignment horizontal="left" vertical="top" wrapText="1"/>
      <protection/>
    </xf>
    <xf numFmtId="0" fontId="13" fillId="0" borderId="0" xfId="0" applyFont="1" applyBorder="1" applyAlignment="1" applyProtection="1">
      <alignment vertical="top"/>
      <protection/>
    </xf>
    <xf numFmtId="0" fontId="13" fillId="0" borderId="0" xfId="0" applyFont="1" applyAlignment="1" applyProtection="1">
      <alignment vertical="top"/>
      <protection/>
    </xf>
    <xf numFmtId="0" fontId="14" fillId="0" borderId="26" xfId="0" applyFont="1" applyBorder="1" applyAlignment="1" applyProtection="1">
      <alignment vertical="top" wrapText="1"/>
      <protection/>
    </xf>
    <xf numFmtId="0" fontId="1" fillId="0" borderId="26" xfId="0" applyFont="1" applyBorder="1" applyAlignment="1" applyProtection="1">
      <alignment horizontal="left" vertical="top"/>
      <protection/>
    </xf>
    <xf numFmtId="0" fontId="23" fillId="0" borderId="27" xfId="49" applyNumberFormat="1" applyFont="1" applyFill="1" applyBorder="1" applyAlignment="1">
      <alignment horizontal="left" vertical="center" wrapText="1"/>
      <protection/>
    </xf>
    <xf numFmtId="168" fontId="23" fillId="0" borderId="0" xfId="49" applyNumberFormat="1" applyFont="1" applyFill="1" applyBorder="1" applyAlignment="1">
      <alignment horizontal="right" vertical="center" wrapText="1"/>
      <protection/>
    </xf>
    <xf numFmtId="169" fontId="23" fillId="0" borderId="0" xfId="49" applyNumberFormat="1" applyFont="1" applyFill="1" applyBorder="1" applyAlignment="1">
      <alignment horizontal="right" vertical="center" wrapText="1"/>
      <protection/>
    </xf>
    <xf numFmtId="0" fontId="0" fillId="0" borderId="0" xfId="0" applyBorder="1" applyAlignment="1" applyProtection="1">
      <alignment vertical="top"/>
      <protection/>
    </xf>
    <xf numFmtId="0" fontId="14" fillId="0" borderId="28" xfId="0" applyFont="1" applyBorder="1" applyAlignment="1" applyProtection="1">
      <alignment vertical="top" wrapText="1"/>
      <protection/>
    </xf>
    <xf numFmtId="0" fontId="4" fillId="0" borderId="28" xfId="0" applyFont="1" applyBorder="1" applyAlignment="1" applyProtection="1">
      <alignment horizontal="left" vertical="top"/>
      <protection/>
    </xf>
    <xf numFmtId="0" fontId="1" fillId="35" borderId="28" xfId="0" applyFont="1" applyFill="1" applyBorder="1" applyAlignment="1" applyProtection="1">
      <alignment horizontal="left" vertical="top" wrapText="1"/>
      <protection locked="0"/>
    </xf>
    <xf numFmtId="0" fontId="17" fillId="0" borderId="28" xfId="0" applyFont="1" applyBorder="1" applyAlignment="1" applyProtection="1">
      <alignment horizontal="left" vertical="top" indent="1"/>
      <protection/>
    </xf>
    <xf numFmtId="0" fontId="17" fillId="0" borderId="28" xfId="0" applyFont="1" applyBorder="1" applyAlignment="1" applyProtection="1">
      <alignment horizontal="left" vertical="top" wrapText="1"/>
      <protection/>
    </xf>
    <xf numFmtId="0" fontId="0" fillId="0" borderId="28" xfId="0" applyFont="1" applyBorder="1" applyAlignment="1" applyProtection="1">
      <alignment horizontal="left" vertical="top" wrapText="1"/>
      <protection/>
    </xf>
    <xf numFmtId="0" fontId="14" fillId="0" borderId="29" xfId="0" applyFont="1" applyBorder="1" applyAlignment="1" applyProtection="1">
      <alignment vertical="top" wrapText="1"/>
      <protection/>
    </xf>
    <xf numFmtId="0" fontId="1" fillId="0" borderId="29" xfId="0" applyFont="1" applyBorder="1" applyAlignment="1" applyProtection="1">
      <alignment horizontal="left" vertical="top"/>
      <protection/>
    </xf>
    <xf numFmtId="0" fontId="17" fillId="0" borderId="29" xfId="0" applyFont="1" applyBorder="1" applyAlignment="1" applyProtection="1">
      <alignment horizontal="left" vertical="top" indent="1"/>
      <protection/>
    </xf>
    <xf numFmtId="0" fontId="17" fillId="0" borderId="29" xfId="0" applyFont="1" applyBorder="1" applyAlignment="1" applyProtection="1">
      <alignment horizontal="left" vertical="top" wrapText="1"/>
      <protection/>
    </xf>
    <xf numFmtId="0" fontId="14" fillId="0" borderId="16" xfId="0" applyFont="1" applyBorder="1" applyAlignment="1" applyProtection="1">
      <alignment vertical="top" wrapText="1"/>
      <protection/>
    </xf>
    <xf numFmtId="0" fontId="1" fillId="0" borderId="16" xfId="0" applyFont="1" applyFill="1" applyBorder="1" applyAlignment="1" applyProtection="1">
      <alignment horizontal="left" vertical="top"/>
      <protection/>
    </xf>
    <xf numFmtId="0" fontId="1" fillId="35" borderId="16" xfId="0" applyFont="1" applyFill="1" applyBorder="1" applyAlignment="1" applyProtection="1">
      <alignment horizontal="left" vertical="top"/>
      <protection locked="0"/>
    </xf>
    <xf numFmtId="0" fontId="17" fillId="0" borderId="16" xfId="0" applyFont="1" applyBorder="1" applyAlignment="1" applyProtection="1">
      <alignment horizontal="left" vertical="top" indent="1"/>
      <protection/>
    </xf>
    <xf numFmtId="0" fontId="17" fillId="0" borderId="16" xfId="0" applyFont="1" applyBorder="1" applyAlignment="1" applyProtection="1">
      <alignment horizontal="left" vertical="top" wrapText="1"/>
      <protection/>
    </xf>
    <xf numFmtId="0" fontId="0" fillId="0" borderId="16" xfId="0" applyFont="1" applyBorder="1" applyAlignment="1" applyProtection="1">
      <alignment horizontal="left" vertical="top" wrapText="1"/>
      <protection/>
    </xf>
    <xf numFmtId="0" fontId="14" fillId="0" borderId="30" xfId="0" applyFont="1" applyBorder="1" applyAlignment="1" applyProtection="1">
      <alignment vertical="top" wrapText="1"/>
      <protection/>
    </xf>
    <xf numFmtId="0" fontId="1" fillId="0" borderId="30" xfId="0" applyFont="1" applyBorder="1" applyAlignment="1" applyProtection="1">
      <alignment horizontal="left" vertical="top"/>
      <protection/>
    </xf>
    <xf numFmtId="0" fontId="1" fillId="35" borderId="30" xfId="0" applyFont="1" applyFill="1" applyBorder="1" applyAlignment="1" applyProtection="1">
      <alignment horizontal="left" vertical="top"/>
      <protection locked="0"/>
    </xf>
    <xf numFmtId="0" fontId="17" fillId="0" borderId="30" xfId="0" applyFont="1" applyBorder="1" applyAlignment="1" applyProtection="1">
      <alignment horizontal="left" vertical="top" indent="1"/>
      <protection/>
    </xf>
    <xf numFmtId="0" fontId="17" fillId="0" borderId="30" xfId="0" applyFont="1" applyBorder="1" applyAlignment="1" applyProtection="1">
      <alignment horizontal="left" vertical="top" wrapText="1"/>
      <protection/>
    </xf>
    <xf numFmtId="0" fontId="0" fillId="0" borderId="31" xfId="0" applyFont="1" applyBorder="1" applyAlignment="1" applyProtection="1">
      <alignment vertical="top"/>
      <protection/>
    </xf>
    <xf numFmtId="0" fontId="1" fillId="0" borderId="16" xfId="0" applyFont="1" applyBorder="1" applyAlignment="1" applyProtection="1">
      <alignment horizontal="left" vertical="top"/>
      <protection/>
    </xf>
    <xf numFmtId="0" fontId="1" fillId="35" borderId="32" xfId="0" applyFont="1" applyFill="1" applyBorder="1" applyAlignment="1" applyProtection="1">
      <alignment horizontal="left" vertical="top"/>
      <protection locked="0"/>
    </xf>
    <xf numFmtId="0" fontId="0" fillId="0" borderId="30" xfId="0" applyFont="1" applyBorder="1" applyAlignment="1" applyProtection="1">
      <alignment horizontal="left" vertical="top" wrapText="1"/>
      <protection/>
    </xf>
    <xf numFmtId="0" fontId="14" fillId="0" borderId="32" xfId="0" applyFont="1" applyBorder="1" applyAlignment="1" applyProtection="1">
      <alignment vertical="top" wrapText="1"/>
      <protection/>
    </xf>
    <xf numFmtId="0" fontId="1" fillId="0" borderId="32" xfId="0" applyFont="1" applyBorder="1" applyAlignment="1" applyProtection="1">
      <alignment horizontal="left" vertical="top"/>
      <protection/>
    </xf>
    <xf numFmtId="166" fontId="1" fillId="35" borderId="32" xfId="0" applyNumberFormat="1" applyFont="1" applyFill="1" applyBorder="1" applyAlignment="1" applyProtection="1">
      <alignment horizontal="left" vertical="top"/>
      <protection locked="0"/>
    </xf>
    <xf numFmtId="0" fontId="17" fillId="0" borderId="32" xfId="0" applyFont="1" applyFill="1" applyBorder="1" applyAlignment="1" applyProtection="1">
      <alignment horizontal="left" vertical="top" indent="1"/>
      <protection/>
    </xf>
    <xf numFmtId="0" fontId="17" fillId="0" borderId="32" xfId="0" applyFont="1" applyBorder="1" applyAlignment="1" applyProtection="1">
      <alignment horizontal="left" vertical="top" wrapText="1"/>
      <protection/>
    </xf>
    <xf numFmtId="166" fontId="1" fillId="35" borderId="18" xfId="0" applyNumberFormat="1" applyFont="1" applyFill="1" applyBorder="1" applyAlignment="1" applyProtection="1">
      <alignment horizontal="left" vertical="top"/>
      <protection locked="0"/>
    </xf>
    <xf numFmtId="0" fontId="17" fillId="0" borderId="16" xfId="0" applyFont="1" applyFill="1" applyBorder="1" applyAlignment="1" applyProtection="1">
      <alignment horizontal="left" vertical="top" indent="1"/>
      <protection/>
    </xf>
    <xf numFmtId="166" fontId="1" fillId="35" borderId="16" xfId="0" applyNumberFormat="1" applyFont="1" applyFill="1" applyBorder="1" applyAlignment="1" applyProtection="1">
      <alignment horizontal="left" vertical="top"/>
      <protection locked="0"/>
    </xf>
    <xf numFmtId="166" fontId="1" fillId="35" borderId="30" xfId="0" applyNumberFormat="1" applyFont="1" applyFill="1" applyBorder="1" applyAlignment="1" applyProtection="1">
      <alignment horizontal="left" vertical="top"/>
      <protection locked="0"/>
    </xf>
    <xf numFmtId="2" fontId="1" fillId="35" borderId="28" xfId="0" applyNumberFormat="1" applyFont="1" applyFill="1" applyBorder="1" applyAlignment="1" applyProtection="1">
      <alignment horizontal="left" vertical="top"/>
      <protection locked="0"/>
    </xf>
    <xf numFmtId="0" fontId="24" fillId="37" borderId="32" xfId="0" applyFont="1" applyFill="1" applyBorder="1" applyAlignment="1" applyProtection="1">
      <alignment horizontal="left" vertical="top" wrapText="1"/>
      <protection/>
    </xf>
    <xf numFmtId="0" fontId="1" fillId="0" borderId="18" xfId="0" applyFont="1" applyBorder="1" applyAlignment="1" applyProtection="1">
      <alignment horizontal="left" vertical="top" wrapText="1"/>
      <protection/>
    </xf>
    <xf numFmtId="0" fontId="1" fillId="0" borderId="18" xfId="0" applyFont="1" applyBorder="1" applyAlignment="1" applyProtection="1">
      <alignment horizontal="left" vertical="top"/>
      <protection/>
    </xf>
    <xf numFmtId="2" fontId="1" fillId="35" borderId="18" xfId="0" applyNumberFormat="1" applyFont="1" applyFill="1" applyBorder="1" applyAlignment="1" applyProtection="1">
      <alignment horizontal="left" vertical="top"/>
      <protection locked="0"/>
    </xf>
    <xf numFmtId="0" fontId="17" fillId="0" borderId="18" xfId="0" applyFont="1" applyBorder="1" applyAlignment="1" applyProtection="1">
      <alignment horizontal="left" vertical="top" wrapText="1"/>
      <protection/>
    </xf>
    <xf numFmtId="0" fontId="0" fillId="0" borderId="18" xfId="0" applyFont="1" applyBorder="1" applyAlignment="1" applyProtection="1">
      <alignment horizontal="left" vertical="top" wrapText="1"/>
      <protection/>
    </xf>
    <xf numFmtId="0" fontId="14" fillId="0" borderId="18" xfId="0" applyFont="1" applyBorder="1" applyAlignment="1" applyProtection="1">
      <alignment vertical="top" wrapText="1"/>
      <protection/>
    </xf>
    <xf numFmtId="0" fontId="25" fillId="0" borderId="18" xfId="0" applyFont="1" applyBorder="1" applyAlignment="1" applyProtection="1">
      <alignment horizontal="left" vertical="top" wrapText="1"/>
      <protection/>
    </xf>
    <xf numFmtId="0" fontId="6" fillId="0" borderId="18" xfId="0" applyFont="1" applyBorder="1" applyAlignment="1" applyProtection="1">
      <alignment horizontal="left" vertical="top" wrapText="1"/>
      <protection/>
    </xf>
    <xf numFmtId="0" fontId="17" fillId="0" borderId="18" xfId="0" applyFont="1" applyFill="1" applyBorder="1" applyAlignment="1" applyProtection="1">
      <alignment horizontal="left" vertical="top" wrapText="1" indent="1"/>
      <protection/>
    </xf>
    <xf numFmtId="0" fontId="17" fillId="0" borderId="18" xfId="0" applyFont="1" applyBorder="1" applyAlignment="1" applyProtection="1">
      <alignment horizontal="left" vertical="top" indent="1"/>
      <protection/>
    </xf>
    <xf numFmtId="0" fontId="14" fillId="0" borderId="16" xfId="0" applyFont="1" applyBorder="1" applyAlignment="1" applyProtection="1">
      <alignment horizontal="left" vertical="top" wrapText="1"/>
      <protection/>
    </xf>
    <xf numFmtId="0" fontId="14" fillId="0" borderId="31" xfId="0" applyFont="1" applyBorder="1" applyAlignment="1" applyProtection="1">
      <alignment horizontal="left" vertical="top" wrapText="1"/>
      <protection/>
    </xf>
    <xf numFmtId="0" fontId="1" fillId="0" borderId="31" xfId="0" applyFont="1" applyBorder="1" applyAlignment="1" applyProtection="1">
      <alignment horizontal="left" vertical="top"/>
      <protection/>
    </xf>
    <xf numFmtId="2" fontId="1" fillId="35" borderId="31" xfId="0" applyNumberFormat="1" applyFont="1" applyFill="1" applyBorder="1" applyAlignment="1" applyProtection="1">
      <alignment horizontal="left" vertical="top"/>
      <protection locked="0"/>
    </xf>
    <xf numFmtId="0" fontId="17" fillId="0" borderId="31" xfId="0" applyFont="1" applyBorder="1" applyAlignment="1" applyProtection="1">
      <alignment horizontal="left" vertical="top" indent="1"/>
      <protection/>
    </xf>
    <xf numFmtId="0" fontId="17" fillId="0" borderId="31" xfId="0" applyFont="1" applyBorder="1" applyAlignment="1" applyProtection="1">
      <alignment horizontal="left" vertical="top" wrapText="1"/>
      <protection/>
    </xf>
    <xf numFmtId="0" fontId="0" fillId="0" borderId="31" xfId="0" applyFont="1" applyBorder="1" applyAlignment="1" applyProtection="1">
      <alignment horizontal="left" vertical="top" wrapText="1"/>
      <protection/>
    </xf>
    <xf numFmtId="166" fontId="1" fillId="35" borderId="0" xfId="0" applyNumberFormat="1" applyFont="1" applyFill="1" applyBorder="1" applyAlignment="1" applyProtection="1">
      <alignment horizontal="left" vertical="top"/>
      <protection locked="0"/>
    </xf>
    <xf numFmtId="0" fontId="17" fillId="0" borderId="33" xfId="0" applyFont="1" applyBorder="1" applyAlignment="1" applyProtection="1">
      <alignment horizontal="left" vertical="top" wrapText="1"/>
      <protection/>
    </xf>
    <xf numFmtId="0" fontId="0" fillId="0" borderId="33" xfId="0" applyFont="1" applyBorder="1" applyAlignment="1" applyProtection="1">
      <alignment horizontal="left" vertical="top" wrapText="1"/>
      <protection/>
    </xf>
    <xf numFmtId="0" fontId="14" fillId="0" borderId="31" xfId="0" applyFont="1" applyBorder="1" applyAlignment="1" applyProtection="1">
      <alignment vertical="top" wrapText="1"/>
      <protection/>
    </xf>
    <xf numFmtId="0" fontId="14" fillId="0" borderId="0" xfId="0" applyFont="1" applyBorder="1" applyAlignment="1" applyProtection="1">
      <alignment vertical="top" wrapText="1"/>
      <protection/>
    </xf>
    <xf numFmtId="0" fontId="1" fillId="0" borderId="0" xfId="0" applyFont="1" applyBorder="1" applyAlignment="1" applyProtection="1">
      <alignment horizontal="left" vertical="top"/>
      <protection/>
    </xf>
    <xf numFmtId="0" fontId="17" fillId="0" borderId="0" xfId="0" applyFont="1" applyBorder="1" applyAlignment="1" applyProtection="1">
      <alignment horizontal="left" vertical="top" indent="1"/>
      <protection/>
    </xf>
    <xf numFmtId="0" fontId="17" fillId="0" borderId="0" xfId="0" applyFont="1" applyBorder="1" applyAlignment="1" applyProtection="1">
      <alignment horizontal="left" vertical="top" wrapText="1"/>
      <protection/>
    </xf>
    <xf numFmtId="0" fontId="0" fillId="0" borderId="0" xfId="0" applyFont="1" applyBorder="1" applyAlignment="1" applyProtection="1">
      <alignment horizontal="left" vertical="top" wrapText="1"/>
      <protection/>
    </xf>
    <xf numFmtId="0" fontId="14" fillId="0" borderId="34" xfId="0" applyFont="1" applyBorder="1" applyAlignment="1" applyProtection="1">
      <alignment vertical="top" wrapText="1"/>
      <protection/>
    </xf>
    <xf numFmtId="0" fontId="17" fillId="0" borderId="32" xfId="0" applyFont="1" applyBorder="1" applyAlignment="1" applyProtection="1">
      <alignment horizontal="left" vertical="top" indent="1"/>
      <protection/>
    </xf>
    <xf numFmtId="0" fontId="0" fillId="0" borderId="32" xfId="0" applyFont="1" applyBorder="1" applyAlignment="1" applyProtection="1">
      <alignment horizontal="left" vertical="top" wrapText="1"/>
      <protection/>
    </xf>
    <xf numFmtId="0" fontId="14" fillId="0" borderId="35" xfId="0" applyFont="1" applyBorder="1" applyAlignment="1" applyProtection="1">
      <alignment vertical="top" wrapText="1"/>
      <protection/>
    </xf>
    <xf numFmtId="0" fontId="0" fillId="0" borderId="18" xfId="0" applyFont="1" applyBorder="1" applyAlignment="1" applyProtection="1">
      <alignment vertical="top"/>
      <protection/>
    </xf>
    <xf numFmtId="0" fontId="0" fillId="0" borderId="17" xfId="0" applyFont="1" applyBorder="1" applyAlignment="1" applyProtection="1">
      <alignment vertical="top"/>
      <protection/>
    </xf>
    <xf numFmtId="166" fontId="1" fillId="35" borderId="17" xfId="0" applyNumberFormat="1" applyFont="1" applyFill="1" applyBorder="1" applyAlignment="1" applyProtection="1">
      <alignment horizontal="left" vertical="top"/>
      <protection locked="0"/>
    </xf>
    <xf numFmtId="0" fontId="17" fillId="0" borderId="17" xfId="0" applyFont="1" applyBorder="1" applyAlignment="1" applyProtection="1">
      <alignment horizontal="left" vertical="top" indent="1"/>
      <protection/>
    </xf>
    <xf numFmtId="0" fontId="17" fillId="0" borderId="17" xfId="0" applyFont="1" applyBorder="1" applyAlignment="1" applyProtection="1">
      <alignment horizontal="left" vertical="top" wrapText="1"/>
      <protection/>
    </xf>
    <xf numFmtId="0" fontId="0" fillId="0" borderId="17" xfId="0" applyFont="1" applyBorder="1" applyAlignment="1" applyProtection="1">
      <alignment horizontal="left" vertical="top" wrapText="1"/>
      <protection/>
    </xf>
    <xf numFmtId="0" fontId="14" fillId="0" borderId="36" xfId="0" applyFont="1" applyBorder="1" applyAlignment="1" applyProtection="1">
      <alignment vertical="top" wrapText="1"/>
      <protection/>
    </xf>
    <xf numFmtId="166" fontId="1" fillId="35" borderId="31" xfId="0" applyNumberFormat="1" applyFont="1" applyFill="1" applyBorder="1" applyAlignment="1" applyProtection="1">
      <alignment horizontal="left" vertical="top"/>
      <protection locked="0"/>
    </xf>
    <xf numFmtId="0" fontId="1" fillId="0" borderId="33" xfId="0" applyFont="1" applyBorder="1" applyAlignment="1" applyProtection="1">
      <alignment horizontal="left" vertical="top"/>
      <protection/>
    </xf>
    <xf numFmtId="0" fontId="1" fillId="35" borderId="0" xfId="0" applyFont="1" applyFill="1" applyAlignment="1" applyProtection="1">
      <alignment horizontal="left" vertical="top"/>
      <protection locked="0"/>
    </xf>
    <xf numFmtId="0" fontId="17" fillId="0" borderId="33" xfId="0" applyFont="1" applyBorder="1" applyAlignment="1" applyProtection="1">
      <alignment horizontal="left" vertical="top" indent="1"/>
      <protection/>
    </xf>
    <xf numFmtId="166" fontId="1" fillId="35" borderId="28" xfId="0" applyNumberFormat="1" applyFont="1" applyFill="1" applyBorder="1" applyAlignment="1" applyProtection="1">
      <alignment horizontal="left" vertical="top"/>
      <protection locked="0"/>
    </xf>
    <xf numFmtId="0" fontId="14" fillId="0" borderId="17" xfId="0" applyFont="1" applyBorder="1" applyAlignment="1" applyProtection="1">
      <alignment vertical="top" wrapText="1"/>
      <protection/>
    </xf>
    <xf numFmtId="0" fontId="1" fillId="0" borderId="17" xfId="0" applyFont="1" applyBorder="1" applyAlignment="1" applyProtection="1">
      <alignment horizontal="left" vertical="top"/>
      <protection/>
    </xf>
    <xf numFmtId="0" fontId="18" fillId="0" borderId="30" xfId="0" applyFont="1" applyBorder="1" applyAlignment="1" applyProtection="1">
      <alignment vertical="top"/>
      <protection/>
    </xf>
    <xf numFmtId="0" fontId="0" fillId="0" borderId="30" xfId="0" applyFont="1" applyBorder="1" applyAlignment="1" applyProtection="1">
      <alignment vertical="top"/>
      <protection/>
    </xf>
    <xf numFmtId="0" fontId="26" fillId="0" borderId="18" xfId="0" applyFont="1" applyBorder="1" applyAlignment="1" applyProtection="1">
      <alignment horizontal="left" vertical="top" wrapText="1"/>
      <protection/>
    </xf>
    <xf numFmtId="0" fontId="27" fillId="0" borderId="18" xfId="0" applyFont="1" applyBorder="1" applyAlignment="1" applyProtection="1">
      <alignment horizontal="left" vertical="top" wrapText="1"/>
      <protection/>
    </xf>
    <xf numFmtId="0" fontId="14" fillId="0" borderId="18" xfId="0" applyFont="1" applyBorder="1" applyAlignment="1" applyProtection="1">
      <alignment horizontal="left" vertical="top" wrapText="1"/>
      <protection/>
    </xf>
    <xf numFmtId="0" fontId="1" fillId="0" borderId="30" xfId="0" applyFont="1" applyBorder="1" applyAlignment="1" applyProtection="1">
      <alignment horizontal="left" vertical="top" wrapText="1"/>
      <protection/>
    </xf>
    <xf numFmtId="0" fontId="17" fillId="0" borderId="30" xfId="0" applyFont="1" applyBorder="1" applyAlignment="1" applyProtection="1">
      <alignment horizontal="left" vertical="top" wrapText="1" indent="1"/>
      <protection/>
    </xf>
    <xf numFmtId="0" fontId="26" fillId="0" borderId="30" xfId="0" applyFont="1" applyBorder="1" applyAlignment="1" applyProtection="1">
      <alignment horizontal="left" vertical="top" wrapText="1"/>
      <protection/>
    </xf>
    <xf numFmtId="0" fontId="27" fillId="0" borderId="30" xfId="0" applyFont="1" applyBorder="1" applyAlignment="1" applyProtection="1">
      <alignment horizontal="left" vertical="top" wrapText="1"/>
      <protection/>
    </xf>
    <xf numFmtId="0" fontId="14" fillId="0" borderId="33" xfId="0" applyFont="1" applyBorder="1" applyAlignment="1" applyProtection="1">
      <alignment vertical="top" wrapText="1"/>
      <protection/>
    </xf>
    <xf numFmtId="166" fontId="14" fillId="35" borderId="28" xfId="0" applyNumberFormat="1" applyFont="1" applyFill="1" applyBorder="1" applyAlignment="1" applyProtection="1">
      <alignment horizontal="left" vertical="top"/>
      <protection locked="0"/>
    </xf>
    <xf numFmtId="166" fontId="14" fillId="35" borderId="18" xfId="0" applyNumberFormat="1" applyFont="1" applyFill="1" applyBorder="1" applyAlignment="1" applyProtection="1">
      <alignment horizontal="left" vertical="top"/>
      <protection locked="0"/>
    </xf>
    <xf numFmtId="0" fontId="1" fillId="0" borderId="31" xfId="0" applyFont="1" applyBorder="1" applyAlignment="1" applyProtection="1">
      <alignment horizontal="left" vertical="top" wrapText="1"/>
      <protection/>
    </xf>
    <xf numFmtId="0" fontId="26" fillId="0" borderId="31" xfId="0" applyFont="1" applyBorder="1" applyAlignment="1" applyProtection="1">
      <alignment horizontal="left" vertical="top" wrapText="1"/>
      <protection/>
    </xf>
    <xf numFmtId="0" fontId="27" fillId="0" borderId="31" xfId="0" applyFont="1" applyBorder="1" applyAlignment="1" applyProtection="1">
      <alignment horizontal="left" vertical="top" wrapText="1"/>
      <protection/>
    </xf>
    <xf numFmtId="0" fontId="28" fillId="0" borderId="18" xfId="0" applyFont="1" applyFill="1" applyBorder="1" applyAlignment="1" applyProtection="1">
      <alignment horizontal="left" vertical="top" wrapText="1" indent="1"/>
      <protection/>
    </xf>
    <xf numFmtId="2" fontId="1" fillId="35" borderId="37" xfId="0" applyNumberFormat="1" applyFont="1" applyFill="1" applyBorder="1" applyAlignment="1" applyProtection="1">
      <alignment horizontal="left" vertical="top"/>
      <protection locked="0"/>
    </xf>
    <xf numFmtId="0" fontId="28" fillId="0" borderId="30" xfId="0" applyFont="1" applyBorder="1" applyAlignment="1" applyProtection="1">
      <alignment horizontal="left" vertical="top" wrapText="1" indent="1"/>
      <protection/>
    </xf>
    <xf numFmtId="0" fontId="14" fillId="0" borderId="0" xfId="0" applyFont="1" applyBorder="1" applyAlignment="1" applyProtection="1">
      <alignment horizontal="left" vertical="top" wrapText="1"/>
      <protection/>
    </xf>
    <xf numFmtId="0" fontId="28" fillId="0" borderId="0" xfId="0" applyFont="1" applyBorder="1" applyAlignment="1" applyProtection="1">
      <alignment horizontal="left" vertical="top" wrapText="1" indent="1"/>
      <protection/>
    </xf>
    <xf numFmtId="0" fontId="26" fillId="0" borderId="0" xfId="0" applyFont="1" applyBorder="1" applyAlignment="1" applyProtection="1">
      <alignment horizontal="left" vertical="top" wrapText="1"/>
      <protection/>
    </xf>
    <xf numFmtId="0" fontId="27" fillId="0" borderId="0" xfId="0" applyFont="1" applyBorder="1" applyAlignment="1" applyProtection="1">
      <alignment horizontal="left" vertical="top" wrapText="1"/>
      <protection/>
    </xf>
    <xf numFmtId="0" fontId="28" fillId="0" borderId="18" xfId="0" applyFont="1" applyBorder="1" applyAlignment="1" applyProtection="1">
      <alignment horizontal="left" vertical="top" wrapText="1" indent="1"/>
      <protection/>
    </xf>
    <xf numFmtId="0" fontId="1" fillId="0" borderId="30" xfId="0" applyFont="1" applyBorder="1" applyAlignment="1" applyProtection="1">
      <alignment vertical="top" wrapText="1"/>
      <protection/>
    </xf>
    <xf numFmtId="170" fontId="1" fillId="35" borderId="30" xfId="0" applyNumberFormat="1" applyFont="1" applyFill="1" applyBorder="1" applyAlignment="1" applyProtection="1">
      <alignment horizontal="left" vertical="top"/>
      <protection locked="0"/>
    </xf>
    <xf numFmtId="0" fontId="1" fillId="0" borderId="28" xfId="0" applyFont="1" applyBorder="1" applyAlignment="1" applyProtection="1">
      <alignment horizontal="left" vertical="top"/>
      <protection/>
    </xf>
    <xf numFmtId="0" fontId="14" fillId="0" borderId="37" xfId="0" applyFont="1" applyBorder="1" applyAlignment="1" applyProtection="1">
      <alignment vertical="top" wrapText="1"/>
      <protection/>
    </xf>
    <xf numFmtId="0" fontId="1" fillId="0" borderId="37" xfId="0" applyFont="1" applyBorder="1" applyAlignment="1" applyProtection="1">
      <alignment horizontal="left" vertical="top"/>
      <protection/>
    </xf>
    <xf numFmtId="166" fontId="1" fillId="35" borderId="37" xfId="0" applyNumberFormat="1" applyFont="1" applyFill="1" applyBorder="1" applyAlignment="1" applyProtection="1">
      <alignment horizontal="left" vertical="top"/>
      <protection locked="0"/>
    </xf>
    <xf numFmtId="0" fontId="17" fillId="0" borderId="37" xfId="0" applyFont="1" applyBorder="1" applyAlignment="1" applyProtection="1">
      <alignment horizontal="left" vertical="top" indent="1"/>
      <protection/>
    </xf>
    <xf numFmtId="0" fontId="17" fillId="0" borderId="37" xfId="0" applyFont="1" applyBorder="1" applyAlignment="1" applyProtection="1">
      <alignment horizontal="left" vertical="top" wrapText="1"/>
      <protection/>
    </xf>
    <xf numFmtId="0" fontId="0" fillId="0" borderId="37" xfId="0" applyFont="1" applyBorder="1" applyAlignment="1" applyProtection="1">
      <alignment horizontal="left" vertical="top" wrapText="1"/>
      <protection/>
    </xf>
    <xf numFmtId="0" fontId="0" fillId="0" borderId="18" xfId="0" applyFont="1" applyFill="1" applyBorder="1" applyAlignment="1" applyProtection="1">
      <alignment horizontal="left" vertical="top" wrapText="1"/>
      <protection/>
    </xf>
    <xf numFmtId="0" fontId="1" fillId="0" borderId="0" xfId="0" applyFont="1" applyBorder="1" applyAlignment="1" applyProtection="1">
      <alignment horizontal="left" vertical="top" wrapText="1"/>
      <protection/>
    </xf>
    <xf numFmtId="0" fontId="1" fillId="0" borderId="0" xfId="0" applyFont="1" applyBorder="1" applyAlignment="1" applyProtection="1">
      <alignment horizontal="left" vertical="top"/>
      <protection locked="0"/>
    </xf>
    <xf numFmtId="0" fontId="17" fillId="0" borderId="0" xfId="0" applyFont="1" applyBorder="1" applyAlignment="1" applyProtection="1">
      <alignment horizontal="left" vertical="top" wrapText="1" indent="1"/>
      <protection/>
    </xf>
    <xf numFmtId="0" fontId="18" fillId="36" borderId="38" xfId="0" applyFont="1" applyFill="1" applyBorder="1" applyAlignment="1" applyProtection="1">
      <alignment vertical="top"/>
      <protection/>
    </xf>
    <xf numFmtId="0" fontId="1" fillId="36" borderId="39" xfId="0" applyFont="1" applyFill="1" applyBorder="1" applyAlignment="1" applyProtection="1">
      <alignment horizontal="left" vertical="top"/>
      <protection/>
    </xf>
    <xf numFmtId="170" fontId="1" fillId="36" borderId="39" xfId="0" applyNumberFormat="1" applyFont="1" applyFill="1" applyBorder="1" applyAlignment="1" applyProtection="1">
      <alignment horizontal="left" vertical="top"/>
      <protection locked="0"/>
    </xf>
    <xf numFmtId="0" fontId="17" fillId="36" borderId="39" xfId="0" applyFont="1" applyFill="1" applyBorder="1" applyAlignment="1" applyProtection="1">
      <alignment horizontal="left" vertical="top" indent="1"/>
      <protection/>
    </xf>
    <xf numFmtId="0" fontId="17" fillId="36" borderId="40" xfId="0" applyFont="1" applyFill="1" applyBorder="1" applyAlignment="1" applyProtection="1">
      <alignment horizontal="left" vertical="top" wrapText="1"/>
      <protection/>
    </xf>
    <xf numFmtId="0" fontId="0" fillId="36" borderId="40" xfId="0" applyFont="1" applyFill="1" applyBorder="1" applyAlignment="1" applyProtection="1">
      <alignment horizontal="left" vertical="top" wrapText="1"/>
      <protection/>
    </xf>
    <xf numFmtId="170" fontId="1" fillId="38" borderId="16" xfId="0" applyNumberFormat="1" applyFont="1" applyFill="1" applyBorder="1" applyAlignment="1" applyProtection="1">
      <alignment horizontal="left" vertical="top"/>
      <protection locked="0"/>
    </xf>
    <xf numFmtId="170" fontId="1" fillId="38" borderId="18" xfId="0" applyNumberFormat="1" applyFont="1" applyFill="1" applyBorder="1" applyAlignment="1" applyProtection="1">
      <alignment horizontal="left" vertical="top"/>
      <protection locked="0"/>
    </xf>
    <xf numFmtId="170" fontId="1" fillId="38" borderId="17" xfId="0" applyNumberFormat="1" applyFont="1" applyFill="1" applyBorder="1" applyAlignment="1" applyProtection="1">
      <alignment horizontal="left" vertical="top"/>
      <protection locked="0"/>
    </xf>
    <xf numFmtId="0" fontId="14" fillId="36" borderId="0" xfId="0" applyFont="1" applyFill="1" applyAlignment="1" applyProtection="1">
      <alignment vertical="top" wrapText="1"/>
      <protection/>
    </xf>
    <xf numFmtId="0" fontId="1" fillId="36" borderId="0" xfId="0" applyFont="1" applyFill="1" applyAlignment="1" applyProtection="1">
      <alignment horizontal="left" vertical="top"/>
      <protection/>
    </xf>
    <xf numFmtId="0" fontId="1" fillId="36" borderId="0" xfId="0" applyFont="1" applyFill="1" applyAlignment="1" applyProtection="1">
      <alignment horizontal="left" vertical="top"/>
      <protection locked="0"/>
    </xf>
    <xf numFmtId="0" fontId="17" fillId="36" borderId="0" xfId="0" applyFont="1" applyFill="1" applyAlignment="1" applyProtection="1">
      <alignment horizontal="left" vertical="top" indent="1"/>
      <protection/>
    </xf>
    <xf numFmtId="0" fontId="17" fillId="36" borderId="0" xfId="0" applyFont="1" applyFill="1" applyAlignment="1" applyProtection="1">
      <alignment horizontal="left" vertical="top" wrapText="1"/>
      <protection/>
    </xf>
    <xf numFmtId="0" fontId="0" fillId="36" borderId="0" xfId="0" applyFont="1" applyFill="1" applyAlignment="1" applyProtection="1">
      <alignment horizontal="left" vertical="top" wrapText="1"/>
      <protection/>
    </xf>
    <xf numFmtId="0" fontId="0" fillId="36" borderId="0" xfId="0" applyFill="1" applyAlignment="1" applyProtection="1">
      <alignment vertical="top"/>
      <protection/>
    </xf>
    <xf numFmtId="166" fontId="1" fillId="38" borderId="18" xfId="0" applyNumberFormat="1" applyFont="1" applyFill="1" applyBorder="1" applyAlignment="1" applyProtection="1">
      <alignment horizontal="left" vertical="top"/>
      <protection locked="0"/>
    </xf>
    <xf numFmtId="0" fontId="1" fillId="0" borderId="18" xfId="0" applyFont="1" applyBorder="1" applyAlignment="1" applyProtection="1">
      <alignment vertical="top" wrapText="1"/>
      <protection/>
    </xf>
    <xf numFmtId="0" fontId="18" fillId="36" borderId="41" xfId="0" applyFont="1" applyFill="1" applyBorder="1" applyAlignment="1" applyProtection="1">
      <alignment vertical="top"/>
      <protection/>
    </xf>
    <xf numFmtId="0" fontId="13" fillId="36" borderId="42" xfId="0" applyFont="1" applyFill="1" applyBorder="1" applyAlignment="1" applyProtection="1">
      <alignment horizontal="left" vertical="top" wrapText="1"/>
      <protection/>
    </xf>
    <xf numFmtId="0" fontId="19" fillId="36" borderId="42" xfId="0" applyFont="1" applyFill="1" applyBorder="1" applyAlignment="1" applyProtection="1">
      <alignment horizontal="left" vertical="top" wrapText="1"/>
      <protection locked="0"/>
    </xf>
    <xf numFmtId="171" fontId="20" fillId="39" borderId="0" xfId="0" applyNumberFormat="1" applyFont="1" applyFill="1" applyBorder="1" applyAlignment="1" applyProtection="1">
      <alignment horizontal="left" vertical="top" indent="1"/>
      <protection/>
    </xf>
    <xf numFmtId="0" fontId="20" fillId="39" borderId="0" xfId="0" applyFont="1" applyFill="1" applyBorder="1" applyAlignment="1" applyProtection="1">
      <alignment vertical="top"/>
      <protection/>
    </xf>
    <xf numFmtId="0" fontId="13" fillId="39" borderId="0" xfId="0" applyFont="1" applyFill="1" applyBorder="1" applyAlignment="1" applyProtection="1">
      <alignment vertical="top"/>
      <protection/>
    </xf>
    <xf numFmtId="0" fontId="1" fillId="40" borderId="43" xfId="0" applyFont="1" applyFill="1" applyBorder="1" applyAlignment="1" applyProtection="1">
      <alignment vertical="top" wrapText="1"/>
      <protection/>
    </xf>
    <xf numFmtId="0" fontId="1" fillId="40" borderId="43" xfId="0" applyFont="1" applyFill="1" applyBorder="1" applyAlignment="1" applyProtection="1">
      <alignment horizontal="left" vertical="top"/>
      <protection/>
    </xf>
    <xf numFmtId="172" fontId="1" fillId="38" borderId="43" xfId="0" applyNumberFormat="1" applyFont="1" applyFill="1" applyBorder="1" applyAlignment="1" applyProtection="1">
      <alignment horizontal="left" vertical="top"/>
      <protection locked="0"/>
    </xf>
    <xf numFmtId="9" fontId="29" fillId="40" borderId="43" xfId="56" applyFont="1" applyFill="1" applyBorder="1" applyAlignment="1" applyProtection="1">
      <alignment horizontal="left" vertical="top" indent="1"/>
      <protection/>
    </xf>
    <xf numFmtId="0" fontId="17" fillId="40" borderId="43" xfId="0" applyFont="1" applyFill="1" applyBorder="1" applyAlignment="1" applyProtection="1">
      <alignment horizontal="left" vertical="top" wrapText="1"/>
      <protection/>
    </xf>
    <xf numFmtId="0" fontId="0" fillId="40" borderId="43" xfId="0" applyFont="1" applyFill="1" applyBorder="1" applyAlignment="1" applyProtection="1">
      <alignment horizontal="left" vertical="top" wrapText="1"/>
      <protection/>
    </xf>
    <xf numFmtId="0" fontId="1" fillId="40" borderId="44" xfId="0" applyFont="1" applyFill="1" applyBorder="1" applyAlignment="1" applyProtection="1">
      <alignment vertical="top" wrapText="1"/>
      <protection/>
    </xf>
    <xf numFmtId="0" fontId="1" fillId="40" borderId="44" xfId="0" applyFont="1" applyFill="1" applyBorder="1" applyAlignment="1" applyProtection="1">
      <alignment horizontal="left" vertical="top"/>
      <protection/>
    </xf>
    <xf numFmtId="172" fontId="1" fillId="38" borderId="44" xfId="0" applyNumberFormat="1" applyFont="1" applyFill="1" applyBorder="1" applyAlignment="1" applyProtection="1">
      <alignment horizontal="left" vertical="top"/>
      <protection locked="0"/>
    </xf>
    <xf numFmtId="0" fontId="29" fillId="40" borderId="44" xfId="0" applyFont="1" applyFill="1" applyBorder="1" applyAlignment="1" applyProtection="1">
      <alignment horizontal="left" vertical="top" indent="1"/>
      <protection/>
    </xf>
    <xf numFmtId="0" fontId="17" fillId="40" borderId="44" xfId="0" applyFont="1" applyFill="1" applyBorder="1" applyAlignment="1" applyProtection="1">
      <alignment horizontal="left" vertical="top" wrapText="1"/>
      <protection/>
    </xf>
    <xf numFmtId="0" fontId="0" fillId="40" borderId="44" xfId="0" applyFont="1" applyFill="1" applyBorder="1" applyAlignment="1" applyProtection="1">
      <alignment horizontal="left" vertical="top" wrapText="1"/>
      <protection/>
    </xf>
    <xf numFmtId="0" fontId="1" fillId="0" borderId="44" xfId="0" applyFont="1" applyBorder="1" applyAlignment="1" applyProtection="1">
      <alignment vertical="top" wrapText="1"/>
      <protection/>
    </xf>
    <xf numFmtId="0" fontId="1" fillId="0" borderId="44" xfId="0" applyFont="1" applyBorder="1" applyAlignment="1" applyProtection="1">
      <alignment horizontal="left" vertical="top"/>
      <protection/>
    </xf>
    <xf numFmtId="0" fontId="1" fillId="0" borderId="0" xfId="0" applyFont="1" applyAlignment="1" applyProtection="1">
      <alignment vertical="center"/>
      <protection/>
    </xf>
    <xf numFmtId="173" fontId="1" fillId="0" borderId="0" xfId="43" applyNumberFormat="1" applyFont="1" applyFill="1" applyBorder="1" applyAlignment="1" applyProtection="1">
      <alignment vertical="center"/>
      <protection/>
    </xf>
    <xf numFmtId="173" fontId="30" fillId="0" borderId="0" xfId="43" applyNumberFormat="1" applyFont="1" applyFill="1" applyBorder="1" applyAlignment="1" applyProtection="1">
      <alignment vertical="center"/>
      <protection/>
    </xf>
    <xf numFmtId="173" fontId="31" fillId="0" borderId="0" xfId="43" applyNumberFormat="1" applyFont="1" applyFill="1" applyBorder="1" applyAlignment="1" applyProtection="1">
      <alignment vertical="center"/>
      <protection/>
    </xf>
    <xf numFmtId="0" fontId="17" fillId="0" borderId="0" xfId="0" applyFont="1" applyAlignment="1" applyProtection="1">
      <alignment horizontal="left" vertical="center"/>
      <protection/>
    </xf>
    <xf numFmtId="0" fontId="17" fillId="0" borderId="0" xfId="0" applyFont="1" applyFill="1" applyBorder="1" applyAlignment="1" applyProtection="1">
      <alignment horizontal="left" vertical="center"/>
      <protection/>
    </xf>
    <xf numFmtId="0" fontId="1" fillId="0" borderId="0" xfId="0" applyFont="1" applyAlignment="1" applyProtection="1">
      <alignment horizontal="center" vertical="center"/>
      <protection/>
    </xf>
    <xf numFmtId="0" fontId="32" fillId="0" borderId="0" xfId="0" applyFont="1" applyAlignment="1" applyProtection="1">
      <alignment horizontal="left" vertical="top" indent="1"/>
      <protection/>
    </xf>
    <xf numFmtId="0" fontId="33" fillId="0" borderId="0" xfId="0" applyFont="1" applyAlignment="1" applyProtection="1">
      <alignment horizontal="left" vertical="top" wrapText="1" indent="1"/>
      <protection/>
    </xf>
    <xf numFmtId="0" fontId="34" fillId="0" borderId="0" xfId="0" applyFont="1" applyAlignment="1" applyProtection="1">
      <alignment/>
      <protection/>
    </xf>
    <xf numFmtId="0" fontId="32" fillId="0" borderId="0" xfId="0" applyFont="1" applyAlignment="1" applyProtection="1">
      <alignment horizontal="left" indent="1"/>
      <protection/>
    </xf>
    <xf numFmtId="0" fontId="5" fillId="0" borderId="0" xfId="0" applyFont="1" applyAlignment="1" applyProtection="1">
      <alignment horizontal="right" wrapText="1"/>
      <protection/>
    </xf>
    <xf numFmtId="0" fontId="17" fillId="0" borderId="0" xfId="0" applyFont="1" applyAlignment="1" applyProtection="1">
      <alignment wrapText="1"/>
      <protection/>
    </xf>
    <xf numFmtId="0" fontId="17" fillId="0" borderId="0" xfId="0" applyFont="1" applyAlignment="1" applyProtection="1">
      <alignment horizontal="left" vertical="top"/>
      <protection/>
    </xf>
    <xf numFmtId="167" fontId="17" fillId="0" borderId="0" xfId="0" applyNumberFormat="1" applyFont="1" applyAlignment="1" applyProtection="1">
      <alignment horizontal="left" vertical="top"/>
      <protection/>
    </xf>
    <xf numFmtId="166" fontId="1" fillId="0" borderId="0" xfId="0" applyNumberFormat="1" applyFont="1" applyFill="1" applyBorder="1" applyAlignment="1" applyProtection="1">
      <alignment horizontal="center" vertical="center"/>
      <protection/>
    </xf>
    <xf numFmtId="0" fontId="35" fillId="0" borderId="0" xfId="0" applyFont="1" applyAlignment="1" applyProtection="1">
      <alignment/>
      <protection/>
    </xf>
    <xf numFmtId="14" fontId="5" fillId="0" borderId="0" xfId="0" applyNumberFormat="1" applyFont="1" applyAlignment="1" applyProtection="1">
      <alignment horizontal="right" vertical="top" wrapText="1"/>
      <protection/>
    </xf>
    <xf numFmtId="0" fontId="17" fillId="0" borderId="0" xfId="0" applyFont="1" applyAlignment="1" applyProtection="1">
      <alignment horizontal="right" vertical="top"/>
      <protection/>
    </xf>
    <xf numFmtId="0" fontId="17" fillId="0" borderId="0" xfId="0" applyFont="1" applyAlignment="1" applyProtection="1">
      <alignment horizontal="center"/>
      <protection/>
    </xf>
    <xf numFmtId="0" fontId="35" fillId="0" borderId="0" xfId="0" applyFont="1" applyAlignment="1" applyProtection="1">
      <alignment vertical="top"/>
      <protection/>
    </xf>
    <xf numFmtId="167" fontId="17" fillId="0" borderId="0" xfId="0" applyNumberFormat="1" applyFont="1" applyAlignment="1" applyProtection="1">
      <alignment horizontal="right" vertical="top"/>
      <protection/>
    </xf>
    <xf numFmtId="0" fontId="17" fillId="0" borderId="0" xfId="0" applyFont="1" applyBorder="1" applyAlignment="1" applyProtection="1">
      <alignment horizontal="left" vertical="center"/>
      <protection/>
    </xf>
    <xf numFmtId="0" fontId="0" fillId="0" borderId="0" xfId="0" applyFont="1" applyBorder="1" applyAlignment="1" applyProtection="1">
      <alignment vertical="top"/>
      <protection/>
    </xf>
    <xf numFmtId="0" fontId="28" fillId="0" borderId="0" xfId="0" applyFont="1" applyAlignment="1" applyProtection="1">
      <alignment horizontal="center" vertical="top"/>
      <protection/>
    </xf>
    <xf numFmtId="0" fontId="17" fillId="0" borderId="0" xfId="0" applyFont="1" applyAlignment="1" applyProtection="1">
      <alignment horizontal="center" vertical="top"/>
      <protection/>
    </xf>
    <xf numFmtId="0" fontId="17" fillId="0" borderId="0" xfId="0" applyFont="1" applyAlignment="1" applyProtection="1">
      <alignment horizontal="center" vertical="top" wrapText="1"/>
      <protection/>
    </xf>
    <xf numFmtId="166" fontId="18" fillId="0" borderId="0" xfId="0" applyNumberFormat="1" applyFont="1" applyBorder="1" applyAlignment="1" applyProtection="1">
      <alignment horizontal="center" vertical="top"/>
      <protection/>
    </xf>
    <xf numFmtId="166" fontId="28" fillId="0" borderId="13" xfId="0" applyNumberFormat="1" applyFont="1" applyBorder="1" applyAlignment="1" applyProtection="1">
      <alignment horizontal="center" vertical="top"/>
      <protection/>
    </xf>
    <xf numFmtId="166" fontId="17" fillId="0" borderId="13" xfId="0" applyNumberFormat="1" applyFont="1" applyFill="1" applyBorder="1" applyAlignment="1" applyProtection="1">
      <alignment horizontal="center" vertical="center"/>
      <protection/>
    </xf>
    <xf numFmtId="166" fontId="28" fillId="0" borderId="12" xfId="0" applyNumberFormat="1" applyFont="1" applyBorder="1" applyAlignment="1" applyProtection="1">
      <alignment horizontal="center" vertical="top"/>
      <protection/>
    </xf>
    <xf numFmtId="166" fontId="17" fillId="0" borderId="12" xfId="0" applyNumberFormat="1" applyFont="1" applyFill="1" applyBorder="1" applyAlignment="1" applyProtection="1">
      <alignment horizontal="center" vertical="center"/>
      <protection/>
    </xf>
    <xf numFmtId="166" fontId="17" fillId="41" borderId="12" xfId="0" applyNumberFormat="1" applyFont="1" applyFill="1" applyBorder="1" applyAlignment="1" applyProtection="1">
      <alignment horizontal="center" vertical="center"/>
      <protection/>
    </xf>
    <xf numFmtId="14" fontId="1" fillId="0" borderId="0" xfId="0" applyNumberFormat="1" applyFont="1" applyAlignment="1" applyProtection="1">
      <alignment horizontal="left" vertical="center"/>
      <protection/>
    </xf>
    <xf numFmtId="0" fontId="28" fillId="0" borderId="0" xfId="0" applyFont="1" applyFill="1" applyBorder="1" applyAlignment="1" applyProtection="1">
      <alignment horizontal="left" vertical="center" indent="1"/>
      <protection/>
    </xf>
    <xf numFmtId="0" fontId="14" fillId="0" borderId="0" xfId="0" applyFont="1" applyAlignment="1" applyProtection="1">
      <alignment vertical="center"/>
      <protection/>
    </xf>
    <xf numFmtId="0" fontId="14" fillId="42" borderId="45" xfId="0" applyFont="1" applyFill="1" applyBorder="1" applyAlignment="1" applyProtection="1">
      <alignment horizontal="center" vertical="center"/>
      <protection/>
    </xf>
    <xf numFmtId="0" fontId="14" fillId="42" borderId="46" xfId="0" applyFont="1" applyFill="1" applyBorder="1" applyAlignment="1" applyProtection="1">
      <alignment horizontal="center" vertical="center"/>
      <protection/>
    </xf>
    <xf numFmtId="0" fontId="14" fillId="42" borderId="47" xfId="0" applyFont="1" applyFill="1" applyBorder="1" applyAlignment="1" applyProtection="1">
      <alignment horizontal="center" vertical="center"/>
      <protection/>
    </xf>
    <xf numFmtId="0" fontId="14" fillId="43" borderId="45" xfId="0" applyFont="1" applyFill="1" applyBorder="1" applyAlignment="1" applyProtection="1">
      <alignment horizontal="center" vertical="center"/>
      <protection/>
    </xf>
    <xf numFmtId="0" fontId="14" fillId="43" borderId="47" xfId="0" applyFont="1" applyFill="1" applyBorder="1" applyAlignment="1" applyProtection="1">
      <alignment horizontal="center" vertical="center"/>
      <protection/>
    </xf>
    <xf numFmtId="0" fontId="14" fillId="43" borderId="48" xfId="0" applyFont="1" applyFill="1" applyBorder="1" applyAlignment="1" applyProtection="1">
      <alignment horizontal="center" vertical="center"/>
      <protection/>
    </xf>
    <xf numFmtId="0" fontId="14" fillId="43" borderId="49" xfId="0" applyFont="1" applyFill="1" applyBorder="1" applyAlignment="1" applyProtection="1">
      <alignment horizontal="center" vertical="center"/>
      <protection/>
    </xf>
    <xf numFmtId="166" fontId="4" fillId="0" borderId="50" xfId="0" applyNumberFormat="1" applyFont="1" applyBorder="1" applyAlignment="1" applyProtection="1">
      <alignment horizontal="center" vertical="center"/>
      <protection/>
    </xf>
    <xf numFmtId="166" fontId="4" fillId="0" borderId="51" xfId="0" applyNumberFormat="1" applyFont="1" applyBorder="1" applyAlignment="1" applyProtection="1">
      <alignment horizontal="center" vertical="center"/>
      <protection/>
    </xf>
    <xf numFmtId="166" fontId="4" fillId="0" borderId="52" xfId="0" applyNumberFormat="1" applyFont="1" applyBorder="1" applyAlignment="1" applyProtection="1">
      <alignment horizontal="center" vertical="center"/>
      <protection/>
    </xf>
    <xf numFmtId="166" fontId="4" fillId="0" borderId="53" xfId="0" applyNumberFormat="1" applyFont="1" applyBorder="1" applyAlignment="1" applyProtection="1">
      <alignment horizontal="center" vertical="center"/>
      <protection/>
    </xf>
    <xf numFmtId="166" fontId="4" fillId="0" borderId="54" xfId="0" applyNumberFormat="1" applyFont="1" applyBorder="1" applyAlignment="1" applyProtection="1">
      <alignment horizontal="center" vertical="center"/>
      <protection/>
    </xf>
    <xf numFmtId="0" fontId="14" fillId="0" borderId="0" xfId="0" applyFont="1" applyBorder="1" applyAlignment="1" applyProtection="1">
      <alignment horizontal="center" vertical="center"/>
      <protection/>
    </xf>
    <xf numFmtId="0" fontId="14" fillId="0" borderId="0" xfId="0" applyFont="1" applyFill="1" applyBorder="1" applyAlignment="1" applyProtection="1">
      <alignment horizontal="center" vertical="center"/>
      <protection/>
    </xf>
    <xf numFmtId="0" fontId="14" fillId="0" borderId="55" xfId="0" applyFont="1" applyBorder="1" applyAlignment="1" applyProtection="1">
      <alignment horizontal="center" vertical="center"/>
      <protection/>
    </xf>
    <xf numFmtId="0" fontId="14" fillId="0" borderId="56" xfId="0" applyFont="1" applyFill="1" applyBorder="1" applyAlignment="1" applyProtection="1">
      <alignment horizontal="center" vertical="center"/>
      <protection/>
    </xf>
    <xf numFmtId="0" fontId="14" fillId="0" borderId="57" xfId="0" applyFont="1" applyFill="1" applyBorder="1" applyAlignment="1" applyProtection="1">
      <alignment horizontal="center" vertical="center"/>
      <protection/>
    </xf>
    <xf numFmtId="0" fontId="14" fillId="0" borderId="0" xfId="0" applyFont="1" applyAlignment="1" applyProtection="1">
      <alignment horizontal="left" vertical="center" indent="1"/>
      <protection/>
    </xf>
    <xf numFmtId="173" fontId="17" fillId="36" borderId="58" xfId="43" applyNumberFormat="1" applyFont="1" applyFill="1" applyBorder="1" applyAlignment="1" applyProtection="1">
      <alignment horizontal="center" vertical="center"/>
      <protection/>
    </xf>
    <xf numFmtId="173" fontId="32" fillId="0" borderId="59" xfId="43" applyNumberFormat="1" applyFont="1" applyFill="1" applyBorder="1" applyAlignment="1" applyProtection="1">
      <alignment horizontal="center" vertical="center"/>
      <protection/>
    </xf>
    <xf numFmtId="173" fontId="33" fillId="0" borderId="60" xfId="43" applyNumberFormat="1" applyFont="1" applyFill="1" applyBorder="1" applyAlignment="1" applyProtection="1">
      <alignment horizontal="center" vertical="center"/>
      <protection/>
    </xf>
    <xf numFmtId="173" fontId="17" fillId="0" borderId="59" xfId="43" applyNumberFormat="1" applyFont="1" applyFill="1" applyBorder="1" applyAlignment="1" applyProtection="1">
      <alignment horizontal="center" vertical="center"/>
      <protection/>
    </xf>
    <xf numFmtId="173" fontId="17" fillId="0" borderId="61" xfId="43" applyNumberFormat="1" applyFont="1" applyFill="1" applyBorder="1" applyAlignment="1" applyProtection="1">
      <alignment horizontal="center" vertical="center"/>
      <protection/>
    </xf>
    <xf numFmtId="0" fontId="1" fillId="0" borderId="59" xfId="0" applyFont="1" applyBorder="1" applyAlignment="1" applyProtection="1">
      <alignment horizontal="center" vertical="center"/>
      <protection/>
    </xf>
    <xf numFmtId="0" fontId="1" fillId="0" borderId="62" xfId="0" applyFont="1" applyBorder="1" applyAlignment="1" applyProtection="1">
      <alignment horizontal="center" vertical="center"/>
      <protection/>
    </xf>
    <xf numFmtId="0" fontId="1" fillId="0" borderId="60" xfId="0" applyFont="1" applyBorder="1" applyAlignment="1" applyProtection="1">
      <alignment horizontal="center" vertical="center"/>
      <protection/>
    </xf>
    <xf numFmtId="0" fontId="1" fillId="0" borderId="60" xfId="0" applyFont="1" applyFill="1" applyBorder="1" applyAlignment="1" applyProtection="1">
      <alignment horizontal="center" vertical="center"/>
      <protection/>
    </xf>
    <xf numFmtId="0" fontId="1" fillId="0" borderId="61" xfId="0" applyFont="1" applyFill="1" applyBorder="1" applyAlignment="1" applyProtection="1">
      <alignment horizontal="center" vertical="center"/>
      <protection/>
    </xf>
    <xf numFmtId="0" fontId="1" fillId="0" borderId="63" xfId="0" applyFont="1" applyFill="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1" fillId="0" borderId="64" xfId="0" applyFont="1" applyBorder="1" applyAlignment="1" applyProtection="1">
      <alignment horizontal="center" vertical="center"/>
      <protection/>
    </xf>
    <xf numFmtId="0" fontId="1" fillId="0" borderId="65" xfId="0" applyFont="1" applyBorder="1" applyAlignment="1" applyProtection="1">
      <alignment horizontal="center" vertical="center"/>
      <protection/>
    </xf>
    <xf numFmtId="0" fontId="1" fillId="0" borderId="66" xfId="0" applyFont="1" applyBorder="1" applyAlignment="1" applyProtection="1">
      <alignment horizontal="center" vertical="center"/>
      <protection/>
    </xf>
    <xf numFmtId="0" fontId="13" fillId="33" borderId="0" xfId="0" applyFont="1" applyFill="1" applyAlignment="1" applyProtection="1">
      <alignment horizontal="left" vertical="center" indent="1"/>
      <protection/>
    </xf>
    <xf numFmtId="173" fontId="13" fillId="33" borderId="0" xfId="43" applyNumberFormat="1" applyFont="1" applyFill="1" applyBorder="1" applyAlignment="1" applyProtection="1">
      <alignment vertical="center"/>
      <protection/>
    </xf>
    <xf numFmtId="0" fontId="14" fillId="0" borderId="0" xfId="0" applyFont="1" applyAlignment="1" applyProtection="1">
      <alignment vertical="top"/>
      <protection/>
    </xf>
    <xf numFmtId="0" fontId="17" fillId="0" borderId="0" xfId="0" applyFont="1" applyFill="1" applyAlignment="1" applyProtection="1">
      <alignment horizontal="left" vertical="center"/>
      <protection/>
    </xf>
    <xf numFmtId="0" fontId="14" fillId="0" borderId="0" xfId="0" applyFont="1" applyFill="1" applyAlignment="1" applyProtection="1">
      <alignment horizontal="left" vertical="center"/>
      <protection/>
    </xf>
    <xf numFmtId="0" fontId="1" fillId="0" borderId="0" xfId="0" applyFont="1" applyFill="1" applyAlignment="1" applyProtection="1">
      <alignment horizontal="center" vertical="center"/>
      <protection/>
    </xf>
    <xf numFmtId="166" fontId="14" fillId="0" borderId="0" xfId="0" applyNumberFormat="1" applyFont="1" applyFill="1" applyAlignment="1" applyProtection="1">
      <alignment horizontal="left" vertical="center"/>
      <protection/>
    </xf>
    <xf numFmtId="0" fontId="1" fillId="0" borderId="0" xfId="0" applyFont="1" applyFill="1" applyAlignment="1" applyProtection="1">
      <alignment vertical="center"/>
      <protection/>
    </xf>
    <xf numFmtId="0" fontId="18" fillId="44" borderId="0" xfId="0" applyFont="1" applyFill="1" applyAlignment="1" applyProtection="1">
      <alignment horizontal="left" vertical="center" indent="1"/>
      <protection/>
    </xf>
    <xf numFmtId="173" fontId="18" fillId="44" borderId="0" xfId="43" applyNumberFormat="1" applyFont="1" applyFill="1" applyBorder="1" applyAlignment="1" applyProtection="1">
      <alignment vertical="center"/>
      <protection/>
    </xf>
    <xf numFmtId="0" fontId="1" fillId="0" borderId="0" xfId="0" applyFont="1" applyFill="1" applyAlignment="1" applyProtection="1">
      <alignment horizontal="left" vertical="center" indent="1"/>
      <protection/>
    </xf>
    <xf numFmtId="173" fontId="1" fillId="36" borderId="0" xfId="43" applyNumberFormat="1" applyFont="1" applyFill="1" applyBorder="1" applyAlignment="1" applyProtection="1">
      <alignment vertical="center"/>
      <protection/>
    </xf>
    <xf numFmtId="173" fontId="14" fillId="0" borderId="0" xfId="43" applyNumberFormat="1" applyFont="1" applyFill="1" applyBorder="1" applyAlignment="1" applyProtection="1">
      <alignment vertical="center"/>
      <protection/>
    </xf>
    <xf numFmtId="2" fontId="1" fillId="0" borderId="67" xfId="0" applyNumberFormat="1" applyFont="1" applyFill="1" applyBorder="1" applyAlignment="1" applyProtection="1">
      <alignment horizontal="center" vertical="center"/>
      <protection/>
    </xf>
    <xf numFmtId="2" fontId="1" fillId="0" borderId="68" xfId="0" applyNumberFormat="1" applyFont="1" applyFill="1" applyBorder="1" applyAlignment="1" applyProtection="1">
      <alignment horizontal="center" vertical="center"/>
      <protection/>
    </xf>
    <xf numFmtId="2" fontId="1" fillId="0" borderId="69" xfId="0" applyNumberFormat="1" applyFont="1" applyFill="1" applyBorder="1" applyAlignment="1" applyProtection="1">
      <alignment horizontal="center" vertical="center"/>
      <protection/>
    </xf>
    <xf numFmtId="2" fontId="1" fillId="0" borderId="70" xfId="0" applyNumberFormat="1" applyFont="1" applyFill="1" applyBorder="1" applyAlignment="1" applyProtection="1">
      <alignment horizontal="center" vertical="center"/>
      <protection/>
    </xf>
    <xf numFmtId="2" fontId="1" fillId="0" borderId="0" xfId="0" applyNumberFormat="1" applyFont="1" applyFill="1" applyBorder="1" applyAlignment="1" applyProtection="1">
      <alignment horizontal="center" vertical="center"/>
      <protection/>
    </xf>
    <xf numFmtId="166" fontId="1" fillId="0" borderId="0" xfId="0" applyNumberFormat="1" applyFont="1" applyBorder="1" applyAlignment="1" applyProtection="1">
      <alignment horizontal="center" vertical="center"/>
      <protection/>
    </xf>
    <xf numFmtId="0" fontId="14" fillId="0" borderId="0" xfId="0" applyFont="1" applyAlignment="1" applyProtection="1">
      <alignment horizontal="center" vertical="center"/>
      <protection/>
    </xf>
    <xf numFmtId="2" fontId="1" fillId="0" borderId="71" xfId="0" applyNumberFormat="1" applyFont="1" applyFill="1" applyBorder="1" applyAlignment="1" applyProtection="1">
      <alignment horizontal="center" vertical="center"/>
      <protection/>
    </xf>
    <xf numFmtId="2" fontId="1" fillId="0" borderId="72" xfId="0" applyNumberFormat="1" applyFont="1" applyFill="1" applyBorder="1" applyAlignment="1" applyProtection="1">
      <alignment horizontal="center" vertical="center"/>
      <protection/>
    </xf>
    <xf numFmtId="2" fontId="1" fillId="0" borderId="73" xfId="0" applyNumberFormat="1" applyFont="1" applyFill="1" applyBorder="1" applyAlignment="1" applyProtection="1">
      <alignment horizontal="center" vertical="center"/>
      <protection/>
    </xf>
    <xf numFmtId="2" fontId="1" fillId="0" borderId="74" xfId="0" applyNumberFormat="1" applyFont="1" applyFill="1" applyBorder="1" applyAlignment="1" applyProtection="1">
      <alignment horizontal="center" vertical="center"/>
      <protection/>
    </xf>
    <xf numFmtId="0" fontId="1" fillId="0" borderId="0" xfId="0" applyFont="1" applyFill="1" applyAlignment="1" applyProtection="1">
      <alignment horizontal="right" vertical="center" indent="1"/>
      <protection/>
    </xf>
    <xf numFmtId="174" fontId="37" fillId="36" borderId="0" xfId="43" applyNumberFormat="1" applyFont="1" applyFill="1" applyBorder="1" applyAlignment="1" applyProtection="1">
      <alignment vertical="center"/>
      <protection/>
    </xf>
    <xf numFmtId="173" fontId="38" fillId="0" borderId="0" xfId="43" applyNumberFormat="1" applyFont="1" applyFill="1" applyBorder="1" applyAlignment="1" applyProtection="1">
      <alignment vertical="center"/>
      <protection/>
    </xf>
    <xf numFmtId="173" fontId="28" fillId="0" borderId="0" xfId="43" applyNumberFormat="1" applyFont="1" applyFill="1" applyBorder="1" applyAlignment="1" applyProtection="1">
      <alignment vertical="center"/>
      <protection/>
    </xf>
    <xf numFmtId="0" fontId="25" fillId="0" borderId="0" xfId="0" applyFont="1" applyAlignment="1" applyProtection="1">
      <alignment horizontal="left" vertical="center"/>
      <protection/>
    </xf>
    <xf numFmtId="2" fontId="1" fillId="0" borderId="75" xfId="0" applyNumberFormat="1" applyFont="1" applyFill="1" applyBorder="1" applyAlignment="1" applyProtection="1">
      <alignment horizontal="center" vertical="center"/>
      <protection/>
    </xf>
    <xf numFmtId="173" fontId="39" fillId="44" borderId="0" xfId="43" applyNumberFormat="1" applyFont="1" applyFill="1" applyBorder="1" applyAlignment="1" applyProtection="1">
      <alignment vertical="center"/>
      <protection/>
    </xf>
    <xf numFmtId="0" fontId="14" fillId="0" borderId="0" xfId="0" applyFont="1" applyFill="1" applyAlignment="1" applyProtection="1">
      <alignment horizontal="center" vertical="center"/>
      <protection/>
    </xf>
    <xf numFmtId="0" fontId="1" fillId="0" borderId="0" xfId="0" applyFont="1" applyAlignment="1" applyProtection="1">
      <alignment horizontal="left" vertical="center" indent="1"/>
      <protection/>
    </xf>
    <xf numFmtId="2" fontId="1" fillId="0" borderId="67" xfId="0" applyNumberFormat="1" applyFont="1" applyBorder="1" applyAlignment="1" applyProtection="1">
      <alignment horizontal="center" vertical="center"/>
      <protection/>
    </xf>
    <xf numFmtId="2" fontId="1" fillId="0" borderId="68" xfId="0" applyNumberFormat="1" applyFont="1" applyBorder="1" applyAlignment="1" applyProtection="1">
      <alignment horizontal="center" vertical="center"/>
      <protection/>
    </xf>
    <xf numFmtId="2" fontId="4" fillId="0" borderId="69" xfId="0" applyNumberFormat="1" applyFont="1" applyFill="1" applyBorder="1" applyAlignment="1" applyProtection="1">
      <alignment horizontal="center" vertical="center"/>
      <protection/>
    </xf>
    <xf numFmtId="2" fontId="1" fillId="0" borderId="69" xfId="0" applyNumberFormat="1" applyFont="1" applyBorder="1" applyAlignment="1" applyProtection="1">
      <alignment horizontal="center" vertical="center"/>
      <protection/>
    </xf>
    <xf numFmtId="2" fontId="1" fillId="0" borderId="70" xfId="0" applyNumberFormat="1" applyFont="1" applyBorder="1" applyAlignment="1" applyProtection="1">
      <alignment horizontal="center" vertical="center"/>
      <protection/>
    </xf>
    <xf numFmtId="2" fontId="1" fillId="0" borderId="0" xfId="0" applyNumberFormat="1" applyFont="1" applyBorder="1" applyAlignment="1" applyProtection="1">
      <alignment horizontal="center" vertical="center"/>
      <protection/>
    </xf>
    <xf numFmtId="2" fontId="1" fillId="0" borderId="71" xfId="0" applyNumberFormat="1" applyFont="1" applyBorder="1" applyAlignment="1" applyProtection="1">
      <alignment horizontal="center" vertical="center"/>
      <protection/>
    </xf>
    <xf numFmtId="2" fontId="1" fillId="0" borderId="72" xfId="0" applyNumberFormat="1" applyFont="1" applyBorder="1" applyAlignment="1" applyProtection="1">
      <alignment horizontal="center" vertical="center"/>
      <protection/>
    </xf>
    <xf numFmtId="2" fontId="4" fillId="0" borderId="73" xfId="0" applyNumberFormat="1" applyFont="1" applyFill="1" applyBorder="1" applyAlignment="1" applyProtection="1">
      <alignment horizontal="center" vertical="center"/>
      <protection/>
    </xf>
    <xf numFmtId="2" fontId="1" fillId="0" borderId="73" xfId="0" applyNumberFormat="1" applyFont="1" applyBorder="1" applyAlignment="1" applyProtection="1">
      <alignment horizontal="center" vertical="center"/>
      <protection/>
    </xf>
    <xf numFmtId="2" fontId="1" fillId="0" borderId="74" xfId="0" applyNumberFormat="1" applyFont="1" applyBorder="1" applyAlignment="1" applyProtection="1">
      <alignment horizontal="center" vertical="center"/>
      <protection/>
    </xf>
    <xf numFmtId="2" fontId="1" fillId="0" borderId="75" xfId="0" applyNumberFormat="1" applyFont="1" applyBorder="1" applyAlignment="1" applyProtection="1">
      <alignment horizontal="center" vertical="center"/>
      <protection/>
    </xf>
    <xf numFmtId="2" fontId="1" fillId="0" borderId="76" xfId="0" applyNumberFormat="1" applyFont="1" applyBorder="1" applyAlignment="1" applyProtection="1">
      <alignment horizontal="center" vertical="center"/>
      <protection/>
    </xf>
    <xf numFmtId="2" fontId="1" fillId="0" borderId="77" xfId="0" applyNumberFormat="1" applyFont="1" applyBorder="1" applyAlignment="1" applyProtection="1">
      <alignment horizontal="center" vertical="center"/>
      <protection/>
    </xf>
    <xf numFmtId="2" fontId="1" fillId="0" borderId="78" xfId="0" applyNumberFormat="1" applyFont="1" applyBorder="1" applyAlignment="1" applyProtection="1">
      <alignment horizontal="center" vertical="center"/>
      <protection/>
    </xf>
    <xf numFmtId="2" fontId="1" fillId="0" borderId="79" xfId="0" applyNumberFormat="1" applyFont="1" applyBorder="1" applyAlignment="1" applyProtection="1">
      <alignment horizontal="center" vertical="center"/>
      <protection/>
    </xf>
    <xf numFmtId="166" fontId="1" fillId="0" borderId="80" xfId="0" applyNumberFormat="1" applyFont="1" applyFill="1" applyBorder="1" applyAlignment="1" applyProtection="1">
      <alignment horizontal="center" vertical="center"/>
      <protection/>
    </xf>
    <xf numFmtId="166" fontId="1" fillId="0" borderId="81" xfId="0" applyNumberFormat="1" applyFont="1" applyFill="1" applyBorder="1" applyAlignment="1" applyProtection="1">
      <alignment horizontal="center" vertical="center"/>
      <protection/>
    </xf>
    <xf numFmtId="173" fontId="4" fillId="35" borderId="81" xfId="43" applyNumberFormat="1" applyFont="1" applyFill="1" applyBorder="1" applyAlignment="1" applyProtection="1">
      <alignment horizontal="center" vertical="center"/>
      <protection/>
    </xf>
    <xf numFmtId="173" fontId="4" fillId="35" borderId="82" xfId="43" applyNumberFormat="1" applyFont="1" applyFill="1" applyBorder="1" applyAlignment="1" applyProtection="1">
      <alignment horizontal="center" vertical="center"/>
      <protection/>
    </xf>
    <xf numFmtId="0" fontId="1" fillId="0" borderId="0" xfId="0" applyFont="1" applyAlignment="1" applyProtection="1">
      <alignment horizontal="left" vertical="top" wrapText="1" indent="1"/>
      <protection/>
    </xf>
    <xf numFmtId="173" fontId="1" fillId="36" borderId="0" xfId="43" applyNumberFormat="1" applyFont="1" applyFill="1" applyBorder="1" applyAlignment="1" applyProtection="1">
      <alignment vertical="top"/>
      <protection/>
    </xf>
    <xf numFmtId="173" fontId="30" fillId="0" borderId="0" xfId="43" applyNumberFormat="1" applyFont="1" applyFill="1" applyBorder="1" applyAlignment="1" applyProtection="1">
      <alignment vertical="top"/>
      <protection/>
    </xf>
    <xf numFmtId="173" fontId="1" fillId="0" borderId="0" xfId="43" applyNumberFormat="1" applyFont="1" applyFill="1" applyBorder="1" applyAlignment="1" applyProtection="1">
      <alignment vertical="top"/>
      <protection/>
    </xf>
    <xf numFmtId="0" fontId="17" fillId="0" borderId="0" xfId="0" applyFont="1" applyFill="1" applyBorder="1" applyAlignment="1" applyProtection="1">
      <alignment horizontal="left" vertical="top"/>
      <protection/>
    </xf>
    <xf numFmtId="2" fontId="1" fillId="0" borderId="0" xfId="0" applyNumberFormat="1" applyFont="1" applyAlignment="1" applyProtection="1">
      <alignment horizontal="center" vertical="top"/>
      <protection/>
    </xf>
    <xf numFmtId="2" fontId="1" fillId="0" borderId="0" xfId="0" applyNumberFormat="1" applyFont="1" applyAlignment="1" applyProtection="1">
      <alignment vertical="top"/>
      <protection/>
    </xf>
    <xf numFmtId="0" fontId="1" fillId="0" borderId="0" xfId="0" applyFont="1" applyAlignment="1" applyProtection="1">
      <alignment horizontal="center" vertical="top"/>
      <protection/>
    </xf>
    <xf numFmtId="0" fontId="13" fillId="39" borderId="83" xfId="0" applyFont="1" applyFill="1" applyBorder="1" applyAlignment="1" applyProtection="1">
      <alignment horizontal="left" vertical="center" indent="1"/>
      <protection/>
    </xf>
    <xf numFmtId="173" fontId="13" fillId="39" borderId="84" xfId="43" applyNumberFormat="1" applyFont="1" applyFill="1" applyBorder="1" applyAlignment="1" applyProtection="1">
      <alignment vertical="center"/>
      <protection/>
    </xf>
    <xf numFmtId="2" fontId="1" fillId="0" borderId="0" xfId="0" applyNumberFormat="1"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0" applyFont="1" applyFill="1" applyBorder="1" applyAlignment="1" applyProtection="1">
      <alignment horizontal="center" vertical="center"/>
      <protection/>
    </xf>
    <xf numFmtId="0" fontId="18" fillId="36" borderId="85" xfId="0" applyFont="1" applyFill="1" applyBorder="1" applyAlignment="1" applyProtection="1">
      <alignment horizontal="left" vertical="center" indent="1"/>
      <protection/>
    </xf>
    <xf numFmtId="173" fontId="18" fillId="36" borderId="86" xfId="43" applyNumberFormat="1" applyFont="1" applyFill="1" applyBorder="1" applyAlignment="1" applyProtection="1">
      <alignment vertical="center"/>
      <protection/>
    </xf>
    <xf numFmtId="173" fontId="39" fillId="36" borderId="86" xfId="43" applyNumberFormat="1" applyFont="1" applyFill="1" applyBorder="1" applyAlignment="1" applyProtection="1">
      <alignment vertical="center"/>
      <protection/>
    </xf>
    <xf numFmtId="173" fontId="18" fillId="36" borderId="87" xfId="43" applyNumberFormat="1" applyFont="1" applyFill="1" applyBorder="1" applyAlignment="1" applyProtection="1">
      <alignment vertical="center"/>
      <protection/>
    </xf>
    <xf numFmtId="173" fontId="18" fillId="36" borderId="0" xfId="43" applyNumberFormat="1" applyFont="1" applyFill="1" applyBorder="1" applyAlignment="1" applyProtection="1">
      <alignment vertical="center"/>
      <protection/>
    </xf>
    <xf numFmtId="2" fontId="1" fillId="0" borderId="88" xfId="0" applyNumberFormat="1" applyFont="1" applyFill="1" applyBorder="1" applyAlignment="1" applyProtection="1">
      <alignment horizontal="center" vertical="center"/>
      <protection/>
    </xf>
    <xf numFmtId="166" fontId="1" fillId="0" borderId="67" xfId="0" applyNumberFormat="1" applyFont="1" applyFill="1" applyBorder="1" applyAlignment="1" applyProtection="1">
      <alignment horizontal="center" vertical="center"/>
      <protection/>
    </xf>
    <xf numFmtId="166" fontId="1" fillId="0" borderId="69" xfId="0" applyNumberFormat="1" applyFont="1" applyFill="1" applyBorder="1" applyAlignment="1" applyProtection="1">
      <alignment horizontal="center" vertical="center"/>
      <protection/>
    </xf>
    <xf numFmtId="173" fontId="4" fillId="35" borderId="69" xfId="43" applyNumberFormat="1" applyFont="1" applyFill="1" applyBorder="1" applyAlignment="1" applyProtection="1">
      <alignment horizontal="center" vertical="center"/>
      <protection/>
    </xf>
    <xf numFmtId="173" fontId="4" fillId="35" borderId="70" xfId="43" applyNumberFormat="1" applyFont="1" applyFill="1" applyBorder="1" applyAlignment="1" applyProtection="1">
      <alignment horizontal="center" vertical="center"/>
      <protection/>
    </xf>
    <xf numFmtId="2" fontId="1" fillId="0" borderId="18" xfId="0" applyNumberFormat="1" applyFont="1" applyFill="1" applyBorder="1" applyAlignment="1" applyProtection="1">
      <alignment horizontal="center" vertical="center"/>
      <protection/>
    </xf>
    <xf numFmtId="166" fontId="1" fillId="0" borderId="71" xfId="0" applyNumberFormat="1" applyFont="1" applyFill="1" applyBorder="1" applyAlignment="1" applyProtection="1">
      <alignment horizontal="center" vertical="center"/>
      <protection/>
    </xf>
    <xf numFmtId="166" fontId="1" fillId="0" borderId="73" xfId="0" applyNumberFormat="1" applyFont="1" applyFill="1" applyBorder="1" applyAlignment="1" applyProtection="1">
      <alignment horizontal="center" vertical="center"/>
      <protection/>
    </xf>
    <xf numFmtId="173" fontId="4" fillId="35" borderId="73" xfId="43" applyNumberFormat="1" applyFont="1" applyFill="1" applyBorder="1" applyAlignment="1" applyProtection="1">
      <alignment horizontal="center" vertical="center"/>
      <protection/>
    </xf>
    <xf numFmtId="173" fontId="4" fillId="35" borderId="74" xfId="43" applyNumberFormat="1" applyFont="1" applyFill="1" applyBorder="1" applyAlignment="1" applyProtection="1">
      <alignment horizontal="center" vertical="center"/>
      <protection/>
    </xf>
    <xf numFmtId="2" fontId="1" fillId="0" borderId="76" xfId="0" applyNumberFormat="1" applyFont="1" applyFill="1" applyBorder="1" applyAlignment="1" applyProtection="1">
      <alignment horizontal="center" vertical="center"/>
      <protection/>
    </xf>
    <xf numFmtId="2" fontId="1" fillId="0" borderId="77" xfId="0" applyNumberFormat="1" applyFont="1" applyFill="1" applyBorder="1" applyAlignment="1" applyProtection="1">
      <alignment horizontal="center" vertical="center"/>
      <protection/>
    </xf>
    <xf numFmtId="2" fontId="1" fillId="0" borderId="78" xfId="0" applyNumberFormat="1" applyFont="1" applyFill="1" applyBorder="1" applyAlignment="1" applyProtection="1">
      <alignment horizontal="center" vertical="center"/>
      <protection/>
    </xf>
    <xf numFmtId="2" fontId="1" fillId="0" borderId="89" xfId="0" applyNumberFormat="1" applyFont="1" applyFill="1" applyBorder="1" applyAlignment="1" applyProtection="1">
      <alignment horizontal="center" vertical="center"/>
      <protection/>
    </xf>
    <xf numFmtId="166" fontId="1" fillId="0" borderId="75" xfId="0" applyNumberFormat="1" applyFont="1" applyFill="1" applyBorder="1" applyAlignment="1" applyProtection="1">
      <alignment horizontal="center" vertical="center"/>
      <protection/>
    </xf>
    <xf numFmtId="166" fontId="1" fillId="0" borderId="77" xfId="0" applyNumberFormat="1" applyFont="1" applyFill="1" applyBorder="1" applyAlignment="1" applyProtection="1">
      <alignment horizontal="center" vertical="center"/>
      <protection/>
    </xf>
    <xf numFmtId="173" fontId="4" fillId="35" borderId="77" xfId="43" applyNumberFormat="1" applyFont="1" applyFill="1" applyBorder="1" applyAlignment="1" applyProtection="1">
      <alignment horizontal="center" vertical="center"/>
      <protection/>
    </xf>
    <xf numFmtId="173" fontId="4" fillId="35" borderId="78" xfId="43" applyNumberFormat="1" applyFont="1" applyFill="1" applyBorder="1" applyAlignment="1" applyProtection="1">
      <alignment horizontal="center" vertical="center"/>
      <protection/>
    </xf>
    <xf numFmtId="0" fontId="40" fillId="0" borderId="0" xfId="0" applyFont="1" applyAlignment="1" applyProtection="1">
      <alignment horizontal="left" vertical="center"/>
      <protection/>
    </xf>
    <xf numFmtId="0" fontId="14" fillId="36" borderId="85" xfId="0" applyFont="1" applyFill="1" applyBorder="1" applyAlignment="1" applyProtection="1">
      <alignment horizontal="left" vertical="center" indent="1"/>
      <protection/>
    </xf>
    <xf numFmtId="173" fontId="14" fillId="36" borderId="86" xfId="43" applyNumberFormat="1" applyFont="1" applyFill="1" applyBorder="1" applyAlignment="1" applyProtection="1">
      <alignment vertical="center"/>
      <protection/>
    </xf>
    <xf numFmtId="173" fontId="14" fillId="36" borderId="87" xfId="43" applyNumberFormat="1" applyFont="1" applyFill="1" applyBorder="1" applyAlignment="1" applyProtection="1">
      <alignment vertical="center"/>
      <protection/>
    </xf>
    <xf numFmtId="0" fontId="14" fillId="0" borderId="90" xfId="0" applyFont="1" applyBorder="1" applyAlignment="1" applyProtection="1">
      <alignment horizontal="center" vertical="center"/>
      <protection/>
    </xf>
    <xf numFmtId="0" fontId="14" fillId="0" borderId="91" xfId="0" applyFont="1" applyBorder="1" applyAlignment="1" applyProtection="1">
      <alignment horizontal="center" vertical="center"/>
      <protection/>
    </xf>
    <xf numFmtId="0" fontId="14" fillId="0" borderId="56" xfId="0" applyFont="1" applyBorder="1" applyAlignment="1" applyProtection="1">
      <alignment horizontal="center" vertical="center"/>
      <protection/>
    </xf>
    <xf numFmtId="173" fontId="36" fillId="36" borderId="86" xfId="43" applyNumberFormat="1" applyFont="1" applyFill="1" applyBorder="1" applyAlignment="1" applyProtection="1">
      <alignment vertical="center"/>
      <protection/>
    </xf>
    <xf numFmtId="2" fontId="1" fillId="0" borderId="92" xfId="0" applyNumberFormat="1" applyFont="1" applyBorder="1" applyAlignment="1" applyProtection="1">
      <alignment horizontal="center" vertical="center"/>
      <protection/>
    </xf>
    <xf numFmtId="0" fontId="1" fillId="0" borderId="93" xfId="0" applyFont="1" applyBorder="1" applyAlignment="1" applyProtection="1">
      <alignment horizontal="center" vertical="center"/>
      <protection/>
    </xf>
    <xf numFmtId="173" fontId="4" fillId="0" borderId="94" xfId="43" applyNumberFormat="1" applyFont="1" applyFill="1" applyBorder="1" applyAlignment="1" applyProtection="1">
      <alignment horizontal="center" vertical="center"/>
      <protection/>
    </xf>
    <xf numFmtId="173" fontId="4" fillId="0" borderId="95" xfId="43" applyNumberFormat="1" applyFont="1" applyFill="1" applyBorder="1" applyAlignment="1" applyProtection="1">
      <alignment horizontal="center" vertical="center"/>
      <protection/>
    </xf>
    <xf numFmtId="173" fontId="4" fillId="0" borderId="96" xfId="43" applyNumberFormat="1" applyFont="1" applyFill="1" applyBorder="1" applyAlignment="1" applyProtection="1">
      <alignment horizontal="center" vertical="center"/>
      <protection/>
    </xf>
    <xf numFmtId="173" fontId="4" fillId="0" borderId="72" xfId="43" applyNumberFormat="1" applyFont="1" applyFill="1" applyBorder="1" applyAlignment="1" applyProtection="1">
      <alignment horizontal="center" vertical="center"/>
      <protection/>
    </xf>
    <xf numFmtId="173" fontId="4" fillId="0" borderId="97" xfId="43" applyNumberFormat="1" applyFont="1" applyFill="1" applyBorder="1" applyAlignment="1" applyProtection="1">
      <alignment horizontal="center" vertical="center"/>
      <protection/>
    </xf>
    <xf numFmtId="173" fontId="4" fillId="0" borderId="76" xfId="43" applyNumberFormat="1" applyFont="1" applyFill="1" applyBorder="1" applyAlignment="1" applyProtection="1">
      <alignment horizontal="center" vertical="center"/>
      <protection/>
    </xf>
    <xf numFmtId="173" fontId="4" fillId="0" borderId="98" xfId="43" applyNumberFormat="1" applyFont="1" applyFill="1" applyBorder="1" applyAlignment="1" applyProtection="1">
      <alignment horizontal="center" vertical="center"/>
      <protection/>
    </xf>
    <xf numFmtId="0" fontId="0" fillId="0" borderId="0" xfId="0" applyFont="1" applyBorder="1" applyAlignment="1" applyProtection="1">
      <alignment horizontal="left" vertical="center" indent="1"/>
      <protection/>
    </xf>
    <xf numFmtId="173" fontId="4" fillId="0" borderId="67" xfId="43" applyNumberFormat="1" applyFont="1" applyFill="1" applyBorder="1" applyAlignment="1" applyProtection="1">
      <alignment horizontal="center" vertical="center"/>
      <protection/>
    </xf>
    <xf numFmtId="173" fontId="4" fillId="0" borderId="68" xfId="43" applyNumberFormat="1" applyFont="1" applyFill="1" applyBorder="1" applyAlignment="1" applyProtection="1">
      <alignment horizontal="center" vertical="center"/>
      <protection/>
    </xf>
    <xf numFmtId="173" fontId="4" fillId="0" borderId="99" xfId="43" applyNumberFormat="1" applyFont="1" applyFill="1" applyBorder="1" applyAlignment="1" applyProtection="1">
      <alignment horizontal="center" vertical="center"/>
      <protection/>
    </xf>
    <xf numFmtId="173" fontId="4" fillId="0" borderId="71" xfId="43" applyNumberFormat="1" applyFont="1" applyFill="1" applyBorder="1" applyAlignment="1" applyProtection="1">
      <alignment horizontal="center" vertical="center"/>
      <protection/>
    </xf>
    <xf numFmtId="173" fontId="4" fillId="0" borderId="100" xfId="43" applyNumberFormat="1" applyFont="1" applyFill="1" applyBorder="1" applyAlignment="1" applyProtection="1">
      <alignment horizontal="center" vertical="center"/>
      <protection/>
    </xf>
    <xf numFmtId="173" fontId="4" fillId="0" borderId="75" xfId="43" applyNumberFormat="1" applyFont="1" applyFill="1" applyBorder="1" applyAlignment="1" applyProtection="1">
      <alignment horizontal="center" vertical="center"/>
      <protection/>
    </xf>
    <xf numFmtId="173" fontId="4" fillId="0" borderId="101" xfId="43" applyNumberFormat="1" applyFont="1" applyFill="1" applyBorder="1" applyAlignment="1" applyProtection="1">
      <alignment horizontal="center" vertical="center"/>
      <protection/>
    </xf>
    <xf numFmtId="2" fontId="1" fillId="0" borderId="99" xfId="0" applyNumberFormat="1" applyFont="1" applyFill="1" applyBorder="1" applyAlignment="1" applyProtection="1">
      <alignment horizontal="center" vertical="center"/>
      <protection/>
    </xf>
    <xf numFmtId="173" fontId="4" fillId="0" borderId="102" xfId="43" applyNumberFormat="1" applyFont="1" applyFill="1" applyBorder="1" applyAlignment="1" applyProtection="1">
      <alignment horizontal="center" vertical="center"/>
      <protection/>
    </xf>
    <xf numFmtId="2" fontId="1" fillId="0" borderId="103" xfId="0" applyNumberFormat="1" applyFont="1" applyFill="1" applyBorder="1" applyAlignment="1" applyProtection="1">
      <alignment horizontal="center" vertical="center"/>
      <protection/>
    </xf>
    <xf numFmtId="2" fontId="1" fillId="0" borderId="104" xfId="0" applyNumberFormat="1" applyFont="1" applyFill="1" applyBorder="1" applyAlignment="1" applyProtection="1">
      <alignment horizontal="center" vertical="center"/>
      <protection/>
    </xf>
    <xf numFmtId="2" fontId="1" fillId="0" borderId="100" xfId="0" applyNumberFormat="1" applyFont="1" applyFill="1" applyBorder="1" applyAlignment="1" applyProtection="1">
      <alignment horizontal="center" vertical="center"/>
      <protection/>
    </xf>
    <xf numFmtId="2" fontId="1" fillId="0" borderId="59" xfId="0" applyNumberFormat="1" applyFont="1" applyFill="1" applyBorder="1" applyAlignment="1" applyProtection="1">
      <alignment horizontal="center" vertical="center"/>
      <protection/>
    </xf>
    <xf numFmtId="2" fontId="1" fillId="0" borderId="58" xfId="0" applyNumberFormat="1" applyFont="1" applyFill="1" applyBorder="1" applyAlignment="1" applyProtection="1">
      <alignment horizontal="center" vertical="center"/>
      <protection/>
    </xf>
    <xf numFmtId="0" fontId="13" fillId="39" borderId="105" xfId="0" applyFont="1" applyFill="1" applyBorder="1" applyAlignment="1" applyProtection="1">
      <alignment horizontal="left" vertical="center" indent="1"/>
      <protection/>
    </xf>
    <xf numFmtId="173" fontId="13" fillId="39" borderId="106" xfId="43" applyNumberFormat="1" applyFont="1" applyFill="1" applyBorder="1" applyAlignment="1" applyProtection="1">
      <alignment vertical="center"/>
      <protection/>
    </xf>
    <xf numFmtId="2" fontId="1" fillId="0" borderId="107" xfId="0" applyNumberFormat="1" applyFont="1" applyFill="1" applyBorder="1" applyAlignment="1" applyProtection="1">
      <alignment horizontal="center" vertical="center"/>
      <protection/>
    </xf>
    <xf numFmtId="173" fontId="4" fillId="0" borderId="45" xfId="43" applyNumberFormat="1" applyFont="1" applyFill="1" applyBorder="1" applyAlignment="1" applyProtection="1">
      <alignment horizontal="center" vertical="center"/>
      <protection/>
    </xf>
    <xf numFmtId="166" fontId="1" fillId="0" borderId="68" xfId="0" applyNumberFormat="1" applyFont="1" applyFill="1" applyBorder="1" applyAlignment="1" applyProtection="1">
      <alignment horizontal="center" vertical="center"/>
      <protection/>
    </xf>
    <xf numFmtId="2" fontId="1" fillId="0" borderId="108" xfId="0" applyNumberFormat="1" applyFont="1" applyFill="1" applyBorder="1" applyAlignment="1" applyProtection="1">
      <alignment horizontal="center" vertical="center"/>
      <protection/>
    </xf>
    <xf numFmtId="2" fontId="1" fillId="0" borderId="101" xfId="0" applyNumberFormat="1" applyFont="1" applyFill="1" applyBorder="1" applyAlignment="1" applyProtection="1">
      <alignment horizontal="center" vertical="center"/>
      <protection/>
    </xf>
    <xf numFmtId="2" fontId="1" fillId="0" borderId="0" xfId="0" applyNumberFormat="1" applyFont="1" applyAlignment="1" applyProtection="1">
      <alignment horizontal="center" vertical="center"/>
      <protection/>
    </xf>
    <xf numFmtId="2" fontId="1" fillId="0" borderId="0" xfId="0" applyNumberFormat="1" applyFont="1" applyAlignment="1" applyProtection="1">
      <alignment vertical="center"/>
      <protection/>
    </xf>
    <xf numFmtId="0" fontId="22" fillId="45" borderId="109" xfId="0" applyFont="1" applyFill="1" applyBorder="1" applyAlignment="1" applyProtection="1">
      <alignment horizontal="left" vertical="center" indent="1"/>
      <protection/>
    </xf>
    <xf numFmtId="173" fontId="22" fillId="45" borderId="110" xfId="43" applyNumberFormat="1" applyFont="1" applyFill="1" applyBorder="1" applyAlignment="1" applyProtection="1">
      <alignment vertical="center"/>
      <protection/>
    </xf>
    <xf numFmtId="0" fontId="0" fillId="0" borderId="109" xfId="0" applyFont="1" applyBorder="1" applyAlignment="1" applyProtection="1">
      <alignment horizontal="left" vertical="center" indent="1"/>
      <protection/>
    </xf>
    <xf numFmtId="173" fontId="1" fillId="36" borderId="110" xfId="43" applyNumberFormat="1" applyFont="1" applyFill="1" applyBorder="1" applyAlignment="1" applyProtection="1">
      <alignment vertical="center"/>
      <protection/>
    </xf>
    <xf numFmtId="173" fontId="30" fillId="0" borderId="110" xfId="43" applyNumberFormat="1" applyFont="1" applyFill="1" applyBorder="1" applyAlignment="1" applyProtection="1">
      <alignment vertical="center"/>
      <protection/>
    </xf>
    <xf numFmtId="173" fontId="1" fillId="0" borderId="110" xfId="43" applyNumberFormat="1" applyFont="1" applyFill="1" applyBorder="1" applyAlignment="1" applyProtection="1">
      <alignment vertical="center"/>
      <protection/>
    </xf>
    <xf numFmtId="173" fontId="1" fillId="0" borderId="111" xfId="43" applyNumberFormat="1" applyFont="1" applyFill="1" applyBorder="1" applyAlignment="1" applyProtection="1">
      <alignment vertical="center"/>
      <protection/>
    </xf>
    <xf numFmtId="2" fontId="1" fillId="0" borderId="80" xfId="0" applyNumberFormat="1" applyFont="1" applyFill="1" applyBorder="1" applyAlignment="1" applyProtection="1">
      <alignment horizontal="center" vertical="center"/>
      <protection/>
    </xf>
    <xf numFmtId="2" fontId="1" fillId="0" borderId="112" xfId="0" applyNumberFormat="1" applyFont="1" applyFill="1" applyBorder="1" applyAlignment="1" applyProtection="1">
      <alignment horizontal="center" vertical="center"/>
      <protection/>
    </xf>
    <xf numFmtId="0" fontId="14" fillId="0" borderId="113" xfId="0" applyFont="1" applyFill="1" applyBorder="1" applyAlignment="1" applyProtection="1">
      <alignment horizontal="left" vertical="center" indent="1"/>
      <protection/>
    </xf>
    <xf numFmtId="173" fontId="14" fillId="36" borderId="114" xfId="43" applyNumberFormat="1" applyFont="1" applyFill="1" applyBorder="1" applyAlignment="1" applyProtection="1">
      <alignment vertical="center"/>
      <protection/>
    </xf>
    <xf numFmtId="173" fontId="30" fillId="0" borderId="114" xfId="43" applyNumberFormat="1" applyFont="1" applyFill="1" applyBorder="1" applyAlignment="1" applyProtection="1">
      <alignment vertical="center"/>
      <protection/>
    </xf>
    <xf numFmtId="173" fontId="1" fillId="0" borderId="114" xfId="43" applyNumberFormat="1" applyFont="1" applyFill="1" applyBorder="1" applyAlignment="1" applyProtection="1">
      <alignment vertical="center"/>
      <protection/>
    </xf>
    <xf numFmtId="173" fontId="1" fillId="0" borderId="115" xfId="43" applyNumberFormat="1" applyFont="1" applyFill="1" applyBorder="1" applyAlignment="1" applyProtection="1">
      <alignment vertical="center"/>
      <protection/>
    </xf>
    <xf numFmtId="0" fontId="1" fillId="0" borderId="116" xfId="0" applyFont="1" applyBorder="1" applyAlignment="1" applyProtection="1">
      <alignment horizontal="left" vertical="center" wrapText="1" indent="1"/>
      <protection/>
    </xf>
    <xf numFmtId="173" fontId="1" fillId="36" borderId="117" xfId="43" applyNumberFormat="1" applyFont="1" applyFill="1" applyBorder="1" applyAlignment="1" applyProtection="1">
      <alignment vertical="center"/>
      <protection/>
    </xf>
    <xf numFmtId="173" fontId="30" fillId="0" borderId="117" xfId="43" applyNumberFormat="1" applyFont="1" applyFill="1" applyBorder="1" applyAlignment="1" applyProtection="1">
      <alignment vertical="center"/>
      <protection/>
    </xf>
    <xf numFmtId="173" fontId="1" fillId="0" borderId="117" xfId="43" applyNumberFormat="1" applyFont="1" applyFill="1" applyBorder="1" applyAlignment="1" applyProtection="1">
      <alignment vertical="center"/>
      <protection/>
    </xf>
    <xf numFmtId="173" fontId="1" fillId="0" borderId="118" xfId="43" applyNumberFormat="1" applyFont="1" applyFill="1" applyBorder="1" applyAlignment="1" applyProtection="1">
      <alignment vertical="center"/>
      <protection/>
    </xf>
    <xf numFmtId="0" fontId="0" fillId="0" borderId="113" xfId="0" applyFont="1" applyBorder="1" applyAlignment="1" applyProtection="1">
      <alignment horizontal="left" vertical="center" indent="1"/>
      <protection/>
    </xf>
    <xf numFmtId="173" fontId="1" fillId="36" borderId="114" xfId="43" applyNumberFormat="1" applyFont="1" applyFill="1" applyBorder="1" applyAlignment="1" applyProtection="1">
      <alignment vertical="center"/>
      <protection/>
    </xf>
    <xf numFmtId="0" fontId="18" fillId="0" borderId="116" xfId="0" applyFont="1" applyFill="1" applyBorder="1" applyAlignment="1" applyProtection="1">
      <alignment horizontal="left" vertical="center" indent="1"/>
      <protection/>
    </xf>
    <xf numFmtId="173" fontId="18" fillId="36" borderId="117" xfId="43" applyNumberFormat="1" applyFont="1" applyFill="1" applyBorder="1" applyAlignment="1" applyProtection="1">
      <alignment vertical="center"/>
      <protection/>
    </xf>
    <xf numFmtId="0" fontId="14" fillId="46" borderId="119" xfId="0" applyFont="1" applyFill="1" applyBorder="1" applyAlignment="1" applyProtection="1">
      <alignment horizontal="left" vertical="center" indent="1"/>
      <protection/>
    </xf>
    <xf numFmtId="0" fontId="14" fillId="46" borderId="120" xfId="0" applyFont="1" applyFill="1" applyBorder="1" applyAlignment="1" applyProtection="1">
      <alignment horizontal="left" vertical="center" indent="1"/>
      <protection/>
    </xf>
    <xf numFmtId="0" fontId="1" fillId="46" borderId="120" xfId="0" applyFont="1" applyFill="1" applyBorder="1" applyAlignment="1" applyProtection="1">
      <alignment vertical="center"/>
      <protection/>
    </xf>
    <xf numFmtId="173" fontId="1" fillId="46" borderId="121" xfId="43" applyNumberFormat="1" applyFont="1" applyFill="1" applyBorder="1" applyAlignment="1" applyProtection="1">
      <alignment vertical="center"/>
      <protection/>
    </xf>
    <xf numFmtId="173" fontId="1" fillId="46" borderId="0" xfId="43" applyNumberFormat="1" applyFont="1" applyFill="1" applyBorder="1" applyAlignment="1" applyProtection="1">
      <alignment vertical="center"/>
      <protection/>
    </xf>
    <xf numFmtId="173" fontId="41" fillId="0" borderId="0" xfId="43" applyNumberFormat="1" applyFont="1" applyFill="1" applyBorder="1" applyAlignment="1" applyProtection="1">
      <alignment horizontal="left" vertical="center" indent="1"/>
      <protection/>
    </xf>
    <xf numFmtId="175" fontId="31" fillId="0" borderId="0" xfId="43" applyNumberFormat="1" applyFont="1" applyFill="1" applyBorder="1" applyAlignment="1" applyProtection="1">
      <alignment vertical="center"/>
      <protection/>
    </xf>
    <xf numFmtId="176" fontId="1" fillId="0" borderId="0" xfId="43" applyNumberFormat="1" applyFont="1" applyFill="1" applyBorder="1" applyAlignment="1" applyProtection="1">
      <alignment vertical="center"/>
      <protection/>
    </xf>
    <xf numFmtId="177" fontId="31" fillId="0" borderId="0" xfId="43" applyNumberFormat="1" applyFont="1" applyFill="1" applyBorder="1" applyAlignment="1" applyProtection="1">
      <alignment vertical="center"/>
      <protection/>
    </xf>
    <xf numFmtId="178" fontId="31" fillId="0" borderId="0" xfId="43" applyNumberFormat="1" applyFont="1" applyFill="1" applyBorder="1" applyAlignment="1" applyProtection="1">
      <alignment vertical="center"/>
      <protection/>
    </xf>
    <xf numFmtId="0" fontId="42" fillId="47" borderId="0" xfId="0" applyFont="1" applyFill="1" applyAlignment="1" applyProtection="1">
      <alignment vertical="center"/>
      <protection/>
    </xf>
    <xf numFmtId="9" fontId="43" fillId="47" borderId="0" xfId="56" applyFont="1" applyFill="1" applyBorder="1" applyAlignment="1" applyProtection="1">
      <alignment vertical="center"/>
      <protection/>
    </xf>
    <xf numFmtId="0" fontId="1" fillId="0" borderId="0" xfId="0" applyFont="1" applyAlignment="1" applyProtection="1">
      <alignment horizontal="left" vertical="center"/>
      <protection/>
    </xf>
    <xf numFmtId="0" fontId="4" fillId="0" borderId="0" xfId="0" applyFont="1" applyAlignment="1" applyProtection="1">
      <alignment vertical="center"/>
      <protection/>
    </xf>
    <xf numFmtId="0" fontId="44" fillId="0" borderId="0" xfId="0" applyFont="1" applyAlignment="1" applyProtection="1">
      <alignment horizontal="left" vertical="center"/>
      <protection/>
    </xf>
    <xf numFmtId="0" fontId="5" fillId="35" borderId="122" xfId="0" applyFont="1" applyFill="1" applyBorder="1" applyAlignment="1" applyProtection="1">
      <alignment vertical="top"/>
      <protection/>
    </xf>
    <xf numFmtId="3" fontId="45" fillId="36" borderId="122" xfId="0" applyNumberFormat="1" applyFont="1" applyFill="1" applyBorder="1" applyAlignment="1">
      <alignment/>
    </xf>
    <xf numFmtId="0" fontId="18" fillId="36" borderId="19" xfId="0" applyFont="1" applyFill="1" applyBorder="1" applyAlignment="1" applyProtection="1">
      <alignment horizontal="left" vertical="top"/>
      <protection/>
    </xf>
    <xf numFmtId="0" fontId="1" fillId="36" borderId="20" xfId="0" applyFont="1" applyFill="1" applyBorder="1" applyAlignment="1" applyProtection="1">
      <alignment horizontal="left" vertical="top"/>
      <protection/>
    </xf>
    <xf numFmtId="179" fontId="1" fillId="36" borderId="20" xfId="0" applyNumberFormat="1" applyFont="1" applyFill="1" applyBorder="1" applyAlignment="1" applyProtection="1">
      <alignment horizontal="left" vertical="top"/>
      <protection locked="0"/>
    </xf>
    <xf numFmtId="0" fontId="17" fillId="36" borderId="20" xfId="0" applyFont="1" applyFill="1" applyBorder="1" applyAlignment="1" applyProtection="1">
      <alignment horizontal="left" vertical="top" indent="1"/>
      <protection/>
    </xf>
    <xf numFmtId="0" fontId="13" fillId="33" borderId="123" xfId="0" applyFont="1" applyFill="1" applyBorder="1" applyAlignment="1" applyProtection="1">
      <alignment horizontal="left" vertical="top" wrapText="1"/>
      <protection/>
    </xf>
    <xf numFmtId="0" fontId="19" fillId="33" borderId="124" xfId="0" applyFont="1" applyFill="1" applyBorder="1" applyAlignment="1" applyProtection="1">
      <alignment horizontal="left" vertical="top"/>
      <protection locked="0"/>
    </xf>
    <xf numFmtId="0" fontId="22" fillId="33" borderId="124" xfId="0" applyFont="1" applyFill="1" applyBorder="1" applyAlignment="1" applyProtection="1">
      <alignment horizontal="left" vertical="top" indent="1"/>
      <protection/>
    </xf>
    <xf numFmtId="0" fontId="13" fillId="33" borderId="125" xfId="0" applyFont="1" applyFill="1" applyBorder="1" applyAlignment="1" applyProtection="1">
      <alignment horizontal="left" vertical="top" wrapText="1"/>
      <protection/>
    </xf>
    <xf numFmtId="0" fontId="13" fillId="0" borderId="0" xfId="0" applyFont="1" applyFill="1" applyBorder="1" applyAlignment="1" applyProtection="1">
      <alignment horizontal="left" vertical="top" wrapText="1"/>
      <protection/>
    </xf>
    <xf numFmtId="0" fontId="19" fillId="0" borderId="0" xfId="0" applyFont="1" applyFill="1" applyBorder="1" applyAlignment="1" applyProtection="1">
      <alignment horizontal="left" vertical="top"/>
      <protection locked="0"/>
    </xf>
    <xf numFmtId="0" fontId="22" fillId="0" borderId="0" xfId="0" applyFont="1" applyFill="1" applyBorder="1" applyAlignment="1" applyProtection="1">
      <alignment horizontal="left" vertical="top" indent="1"/>
      <protection/>
    </xf>
    <xf numFmtId="0" fontId="0" fillId="0" borderId="0" xfId="0" applyFill="1" applyAlignment="1">
      <alignment/>
    </xf>
    <xf numFmtId="0" fontId="11" fillId="0" borderId="0" xfId="0" applyNumberFormat="1" applyFont="1" applyAlignment="1" applyProtection="1">
      <alignment horizontal="left" vertical="center"/>
      <protection/>
    </xf>
    <xf numFmtId="3" fontId="0" fillId="36" borderId="122" xfId="0" applyNumberFormat="1" applyFill="1" applyBorder="1" applyAlignment="1" applyProtection="1">
      <alignment horizontal="center"/>
      <protection hidden="1"/>
    </xf>
    <xf numFmtId="0" fontId="0" fillId="40" borderId="0" xfId="0" applyFill="1" applyAlignment="1">
      <alignment/>
    </xf>
    <xf numFmtId="0" fontId="0" fillId="48" borderId="0" xfId="0" applyFont="1" applyFill="1" applyAlignment="1">
      <alignment/>
    </xf>
    <xf numFmtId="3" fontId="0" fillId="35" borderId="122" xfId="0" applyNumberFormat="1" applyFill="1" applyBorder="1" applyAlignment="1" applyProtection="1">
      <alignment/>
      <protection locked="0"/>
    </xf>
    <xf numFmtId="0" fontId="0" fillId="40" borderId="126" xfId="0" applyFont="1" applyFill="1" applyBorder="1" applyAlignment="1">
      <alignment/>
    </xf>
    <xf numFmtId="0" fontId="0" fillId="0" borderId="127" xfId="0" applyFill="1" applyBorder="1" applyAlignment="1">
      <alignment/>
    </xf>
    <xf numFmtId="0" fontId="0" fillId="0" borderId="37" xfId="0" applyFont="1" applyFill="1" applyBorder="1" applyAlignment="1">
      <alignment/>
    </xf>
    <xf numFmtId="0" fontId="0" fillId="0" borderId="37" xfId="0" applyBorder="1" applyAlignment="1">
      <alignment/>
    </xf>
    <xf numFmtId="3" fontId="0" fillId="36" borderId="122" xfId="0" applyNumberFormat="1" applyFill="1" applyBorder="1" applyAlignment="1" applyProtection="1">
      <alignment/>
      <protection hidden="1"/>
    </xf>
    <xf numFmtId="0" fontId="0" fillId="0" borderId="127" xfId="0" applyBorder="1" applyAlignment="1">
      <alignment/>
    </xf>
    <xf numFmtId="0" fontId="0" fillId="0" borderId="0" xfId="0" applyFont="1" applyFill="1" applyBorder="1" applyAlignment="1">
      <alignment/>
    </xf>
    <xf numFmtId="3" fontId="0" fillId="0" borderId="0" xfId="0" applyNumberFormat="1" applyFill="1" applyBorder="1" applyAlignment="1">
      <alignment/>
    </xf>
    <xf numFmtId="0" fontId="0" fillId="0" borderId="0" xfId="0" applyFill="1" applyBorder="1" applyAlignment="1">
      <alignment/>
    </xf>
    <xf numFmtId="0" fontId="17" fillId="0" borderId="127" xfId="0" applyFont="1" applyBorder="1" applyAlignment="1" applyProtection="1">
      <alignment horizontal="left" vertical="top" indent="1"/>
      <protection/>
    </xf>
    <xf numFmtId="0" fontId="46" fillId="40" borderId="126" xfId="0" applyFont="1" applyFill="1" applyBorder="1" applyAlignment="1">
      <alignment/>
    </xf>
    <xf numFmtId="0" fontId="0" fillId="40" borderId="0" xfId="0" applyFill="1" applyBorder="1" applyAlignment="1">
      <alignment/>
    </xf>
    <xf numFmtId="0" fontId="17" fillId="40" borderId="0" xfId="0" applyFont="1" applyFill="1" applyBorder="1" applyAlignment="1" applyProtection="1">
      <alignment horizontal="left" vertical="top" indent="1"/>
      <protection/>
    </xf>
    <xf numFmtId="0" fontId="0" fillId="49" borderId="126" xfId="0" applyFont="1" applyFill="1" applyBorder="1" applyAlignment="1">
      <alignment/>
    </xf>
    <xf numFmtId="0" fontId="0" fillId="35" borderId="122" xfId="0" applyFill="1" applyBorder="1" applyAlignment="1" applyProtection="1">
      <alignment/>
      <protection locked="0"/>
    </xf>
    <xf numFmtId="0" fontId="9" fillId="0" borderId="0" xfId="0" applyFont="1" applyAlignment="1">
      <alignment/>
    </xf>
    <xf numFmtId="1" fontId="0" fillId="36" borderId="122" xfId="0" applyNumberFormat="1" applyFill="1" applyBorder="1" applyAlignment="1" applyProtection="1">
      <alignment/>
      <protection hidden="1"/>
    </xf>
    <xf numFmtId="0" fontId="48" fillId="0" borderId="37" xfId="0" applyFont="1" applyBorder="1" applyAlignment="1" applyProtection="1">
      <alignment horizontal="left" vertical="top" indent="1"/>
      <protection/>
    </xf>
    <xf numFmtId="0" fontId="6" fillId="40" borderId="0" xfId="0" applyFont="1" applyFill="1" applyBorder="1" applyAlignment="1">
      <alignment/>
    </xf>
    <xf numFmtId="14" fontId="0" fillId="0" borderId="0" xfId="0" applyNumberFormat="1" applyFill="1" applyBorder="1" applyAlignment="1">
      <alignment/>
    </xf>
    <xf numFmtId="0" fontId="0" fillId="0" borderId="0" xfId="0" applyBorder="1" applyAlignment="1">
      <alignment/>
    </xf>
    <xf numFmtId="0" fontId="23" fillId="40" borderId="126" xfId="0" applyFont="1" applyFill="1" applyBorder="1" applyAlignment="1">
      <alignment/>
    </xf>
    <xf numFmtId="14" fontId="0" fillId="35" borderId="122" xfId="0" applyNumberFormat="1" applyFont="1" applyFill="1" applyBorder="1" applyAlignment="1" applyProtection="1">
      <alignment/>
      <protection locked="0"/>
    </xf>
    <xf numFmtId="0" fontId="0" fillId="50" borderId="122" xfId="0" applyNumberFormat="1" applyFill="1" applyBorder="1" applyAlignment="1" applyProtection="1">
      <alignment/>
      <protection hidden="1"/>
    </xf>
    <xf numFmtId="1" fontId="0" fillId="50" borderId="122" xfId="0" applyNumberFormat="1" applyFill="1" applyBorder="1" applyAlignment="1" applyProtection="1">
      <alignment/>
      <protection hidden="1"/>
    </xf>
    <xf numFmtId="9" fontId="0" fillId="50" borderId="122" xfId="0" applyNumberFormat="1" applyFill="1" applyBorder="1" applyAlignment="1" applyProtection="1">
      <alignment/>
      <protection hidden="1"/>
    </xf>
    <xf numFmtId="0" fontId="23" fillId="0" borderId="0" xfId="0" applyFont="1" applyAlignment="1">
      <alignment/>
    </xf>
    <xf numFmtId="0" fontId="6" fillId="0" borderId="0" xfId="0" applyFont="1" applyFill="1" applyBorder="1" applyAlignment="1">
      <alignment/>
    </xf>
    <xf numFmtId="0" fontId="0" fillId="0" borderId="0" xfId="0" applyNumberFormat="1" applyFill="1" applyBorder="1" applyAlignment="1">
      <alignment/>
    </xf>
    <xf numFmtId="0" fontId="18" fillId="48" borderId="0" xfId="0" applyFont="1" applyFill="1" applyAlignment="1">
      <alignment/>
    </xf>
    <xf numFmtId="0" fontId="6" fillId="40" borderId="126" xfId="0" applyFont="1" applyFill="1" applyBorder="1" applyAlignment="1">
      <alignment/>
    </xf>
    <xf numFmtId="10" fontId="0" fillId="50" borderId="122" xfId="0" applyNumberFormat="1" applyFill="1" applyBorder="1" applyAlignment="1" applyProtection="1">
      <alignment/>
      <protection hidden="1"/>
    </xf>
    <xf numFmtId="0" fontId="25" fillId="0" borderId="37" xfId="0" applyFont="1" applyFill="1" applyBorder="1" applyAlignment="1" applyProtection="1">
      <alignment horizontal="left" vertical="top" indent="1"/>
      <protection/>
    </xf>
    <xf numFmtId="0" fontId="0" fillId="0" borderId="0" xfId="0" applyFont="1" applyFill="1" applyAlignment="1">
      <alignment/>
    </xf>
    <xf numFmtId="0" fontId="0" fillId="0" borderId="37" xfId="0" applyFont="1" applyBorder="1" applyAlignment="1" applyProtection="1">
      <alignment horizontal="left" vertical="center"/>
      <protection/>
    </xf>
    <xf numFmtId="0" fontId="0" fillId="35" borderId="37" xfId="0" applyFont="1" applyFill="1" applyBorder="1" applyAlignment="1" applyProtection="1">
      <alignment horizontal="center" vertical="center"/>
      <protection locked="0"/>
    </xf>
    <xf numFmtId="0" fontId="49" fillId="0" borderId="0" xfId="0" applyFont="1" applyAlignment="1">
      <alignment/>
    </xf>
    <xf numFmtId="0" fontId="50" fillId="0" borderId="0" xfId="0" applyFont="1" applyBorder="1" applyAlignment="1">
      <alignment vertical="center"/>
    </xf>
    <xf numFmtId="0" fontId="23" fillId="0" borderId="37" xfId="0" applyFont="1" applyBorder="1" applyAlignment="1" applyProtection="1">
      <alignment horizontal="left" vertical="center"/>
      <protection/>
    </xf>
    <xf numFmtId="0" fontId="51" fillId="0" borderId="37" xfId="0" applyFont="1" applyBorder="1" applyAlignment="1" applyProtection="1">
      <alignment horizontal="left" vertical="top" indent="1"/>
      <protection/>
    </xf>
    <xf numFmtId="0" fontId="50" fillId="0" borderId="0" xfId="0" applyFont="1" applyBorder="1" applyAlignment="1">
      <alignment horizontal="left" vertical="center"/>
    </xf>
    <xf numFmtId="0" fontId="0" fillId="0" borderId="37" xfId="0" applyFont="1" applyFill="1" applyBorder="1" applyAlignment="1" applyProtection="1">
      <alignment horizontal="center" vertical="center"/>
      <protection locked="0"/>
    </xf>
    <xf numFmtId="3" fontId="0" fillId="36" borderId="122" xfId="0" applyNumberFormat="1" applyFill="1" applyBorder="1" applyAlignment="1">
      <alignment horizontal="center"/>
    </xf>
    <xf numFmtId="3" fontId="0" fillId="36" borderId="122" xfId="0" applyNumberFormat="1" applyFill="1" applyBorder="1" applyAlignment="1">
      <alignment/>
    </xf>
    <xf numFmtId="3" fontId="0" fillId="35" borderId="122" xfId="0" applyNumberFormat="1" applyFill="1" applyBorder="1" applyAlignment="1">
      <alignment/>
    </xf>
    <xf numFmtId="0" fontId="46" fillId="40" borderId="126" xfId="0" applyFont="1" applyFill="1" applyBorder="1" applyAlignment="1">
      <alignment horizontal="right"/>
    </xf>
    <xf numFmtId="180" fontId="0" fillId="35" borderId="122" xfId="0" applyNumberFormat="1" applyFill="1" applyBorder="1" applyAlignment="1">
      <alignment/>
    </xf>
    <xf numFmtId="0" fontId="0" fillId="40" borderId="126" xfId="0" applyFont="1" applyFill="1" applyBorder="1" applyAlignment="1">
      <alignment horizontal="right"/>
    </xf>
    <xf numFmtId="14" fontId="0" fillId="35" borderId="122" xfId="0" applyNumberFormat="1" applyFill="1" applyBorder="1" applyAlignment="1">
      <alignment/>
    </xf>
    <xf numFmtId="0" fontId="46" fillId="0" borderId="37" xfId="0" applyFont="1" applyBorder="1" applyAlignment="1" applyProtection="1">
      <alignment horizontal="left" vertical="center"/>
      <protection/>
    </xf>
    <xf numFmtId="0" fontId="0" fillId="35" borderId="37" xfId="0" applyFont="1" applyFill="1" applyBorder="1" applyAlignment="1" applyProtection="1">
      <alignment horizontal="center" vertical="center"/>
      <protection/>
    </xf>
    <xf numFmtId="0" fontId="52" fillId="0" borderId="0" xfId="0" applyFont="1" applyAlignment="1" applyProtection="1">
      <alignment vertical="center"/>
      <protection/>
    </xf>
    <xf numFmtId="0" fontId="17" fillId="0" borderId="0" xfId="0" applyFont="1" applyAlignment="1" applyProtection="1">
      <alignment horizontal="right" vertical="center"/>
      <protection/>
    </xf>
    <xf numFmtId="167" fontId="17" fillId="0" borderId="0" xfId="0" applyNumberFormat="1" applyFont="1" applyAlignment="1" applyProtection="1">
      <alignment vertical="center"/>
      <protection/>
    </xf>
    <xf numFmtId="0" fontId="1" fillId="0" borderId="0" xfId="0" applyFont="1" applyBorder="1" applyAlignment="1" applyProtection="1">
      <alignment vertical="center"/>
      <protection/>
    </xf>
    <xf numFmtId="0" fontId="53" fillId="0" borderId="0" xfId="0" applyNumberFormat="1" applyFont="1" applyFill="1" applyAlignment="1" applyProtection="1">
      <alignment horizontal="left" vertical="top" wrapText="1"/>
      <protection/>
    </xf>
    <xf numFmtId="2" fontId="18" fillId="44" borderId="0" xfId="0" applyNumberFormat="1" applyFont="1" applyFill="1" applyBorder="1" applyAlignment="1" applyProtection="1">
      <alignment horizontal="center" vertical="center" wrapText="1"/>
      <protection/>
    </xf>
    <xf numFmtId="0" fontId="22" fillId="39" borderId="0" xfId="0" applyFont="1" applyFill="1" applyBorder="1" applyAlignment="1" applyProtection="1">
      <alignment horizontal="center" vertical="center"/>
      <protection/>
    </xf>
    <xf numFmtId="0" fontId="54" fillId="36" borderId="83" xfId="0" applyNumberFormat="1" applyFont="1" applyFill="1" applyBorder="1" applyAlignment="1" applyProtection="1">
      <alignment horizontal="left" vertical="center" indent="1"/>
      <protection/>
    </xf>
    <xf numFmtId="0" fontId="54" fillId="36" borderId="84" xfId="0" applyNumberFormat="1" applyFont="1" applyFill="1" applyBorder="1" applyAlignment="1" applyProtection="1">
      <alignment horizontal="left" vertical="center" indent="1"/>
      <protection/>
    </xf>
    <xf numFmtId="0" fontId="1" fillId="36" borderId="84" xfId="0" applyFont="1" applyFill="1" applyBorder="1" applyAlignment="1" applyProtection="1">
      <alignment vertical="center"/>
      <protection/>
    </xf>
    <xf numFmtId="0" fontId="1" fillId="36" borderId="128" xfId="0" applyFont="1" applyFill="1" applyBorder="1" applyAlignment="1" applyProtection="1">
      <alignment vertical="center"/>
      <protection/>
    </xf>
    <xf numFmtId="2" fontId="18" fillId="44" borderId="0" xfId="0" applyNumberFormat="1" applyFont="1" applyFill="1" applyBorder="1" applyAlignment="1" applyProtection="1">
      <alignment horizontal="center" vertical="top" wrapText="1"/>
      <protection/>
    </xf>
    <xf numFmtId="0" fontId="55" fillId="38" borderId="0" xfId="0" applyFont="1" applyFill="1" applyBorder="1" applyAlignment="1" applyProtection="1">
      <alignment horizontal="center" vertical="center" wrapText="1"/>
      <protection locked="0"/>
    </xf>
    <xf numFmtId="0" fontId="56" fillId="0" borderId="129" xfId="43" applyNumberFormat="1" applyFont="1" applyFill="1" applyBorder="1" applyAlignment="1" applyProtection="1">
      <alignment horizontal="left" vertical="center" wrapText="1" indent="1"/>
      <protection/>
    </xf>
    <xf numFmtId="0" fontId="56" fillId="0" borderId="130" xfId="43" applyNumberFormat="1" applyFont="1" applyFill="1" applyBorder="1" applyAlignment="1" applyProtection="1">
      <alignment horizontal="left" vertical="center" wrapText="1" indent="1"/>
      <protection/>
    </xf>
    <xf numFmtId="0" fontId="56" fillId="0" borderId="130" xfId="0" applyFont="1" applyBorder="1" applyAlignment="1" applyProtection="1">
      <alignment horizontal="left" vertical="center" indent="1"/>
      <protection/>
    </xf>
    <xf numFmtId="0" fontId="31" fillId="0" borderId="130" xfId="0" applyFont="1" applyBorder="1" applyAlignment="1" applyProtection="1">
      <alignment horizontal="right" vertical="center"/>
      <protection/>
    </xf>
    <xf numFmtId="0" fontId="56" fillId="0" borderId="131" xfId="0" applyFont="1" applyBorder="1" applyAlignment="1" applyProtection="1">
      <alignment horizontal="center" vertical="center"/>
      <protection/>
    </xf>
    <xf numFmtId="0" fontId="17" fillId="0" borderId="0" xfId="0" applyNumberFormat="1" applyFont="1" applyAlignment="1" applyProtection="1">
      <alignment horizontal="left" vertical="center"/>
      <protection/>
    </xf>
    <xf numFmtId="0" fontId="57" fillId="51" borderId="0" xfId="0" applyFont="1" applyFill="1" applyBorder="1" applyAlignment="1" applyProtection="1">
      <alignment horizontal="left" vertical="center"/>
      <protection/>
    </xf>
    <xf numFmtId="181" fontId="8" fillId="51" borderId="0" xfId="43" applyNumberFormat="1" applyFont="1" applyFill="1" applyBorder="1" applyAlignment="1" applyProtection="1">
      <alignment horizontal="right" vertical="center" indent="1"/>
      <protection/>
    </xf>
    <xf numFmtId="0" fontId="58" fillId="0" borderId="0" xfId="0" applyFont="1" applyFill="1" applyBorder="1" applyAlignment="1" applyProtection="1">
      <alignment horizontal="left"/>
      <protection/>
    </xf>
    <xf numFmtId="2" fontId="14" fillId="44" borderId="0" xfId="0" applyNumberFormat="1" applyFont="1" applyFill="1" applyBorder="1" applyAlignment="1" applyProtection="1">
      <alignment horizontal="center" wrapText="1"/>
      <protection/>
    </xf>
    <xf numFmtId="0" fontId="6" fillId="0" borderId="0" xfId="0" applyFont="1" applyAlignment="1" applyProtection="1">
      <alignment vertical="center"/>
      <protection/>
    </xf>
    <xf numFmtId="0" fontId="8" fillId="39" borderId="0" xfId="0" applyFont="1" applyFill="1" applyBorder="1" applyAlignment="1" applyProtection="1">
      <alignment horizontal="left" vertical="center"/>
      <protection/>
    </xf>
    <xf numFmtId="181" fontId="8" fillId="39" borderId="0" xfId="43" applyNumberFormat="1" applyFont="1" applyFill="1" applyBorder="1" applyAlignment="1" applyProtection="1">
      <alignment horizontal="right" vertical="center" indent="1"/>
      <protection/>
    </xf>
    <xf numFmtId="0" fontId="18" fillId="0" borderId="0" xfId="0" applyFont="1" applyAlignment="1" applyProtection="1">
      <alignment vertical="center"/>
      <protection/>
    </xf>
    <xf numFmtId="0" fontId="58" fillId="0" borderId="0" xfId="0" applyFont="1" applyFill="1" applyBorder="1" applyAlignment="1" applyProtection="1">
      <alignment horizontal="left" vertical="top"/>
      <protection/>
    </xf>
    <xf numFmtId="2" fontId="14" fillId="44" borderId="0" xfId="0" applyNumberFormat="1" applyFont="1" applyFill="1" applyBorder="1" applyAlignment="1" applyProtection="1">
      <alignment horizontal="center" vertical="top" wrapText="1"/>
      <protection/>
    </xf>
    <xf numFmtId="0" fontId="18" fillId="36" borderId="0" xfId="0" applyFont="1" applyFill="1" applyBorder="1" applyAlignment="1" applyProtection="1">
      <alignment horizontal="left" vertical="center"/>
      <protection/>
    </xf>
    <xf numFmtId="181" fontId="18" fillId="36" borderId="0" xfId="43" applyNumberFormat="1" applyFont="1" applyFill="1" applyBorder="1" applyAlignment="1" applyProtection="1">
      <alignment horizontal="right" vertical="center" indent="1"/>
      <protection/>
    </xf>
    <xf numFmtId="0" fontId="0" fillId="0" borderId="0" xfId="0" applyFont="1" applyFill="1" applyBorder="1" applyAlignment="1" applyProtection="1">
      <alignment vertical="center"/>
      <protection/>
    </xf>
    <xf numFmtId="0" fontId="18" fillId="0" borderId="0"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0" fillId="40" borderId="0" xfId="0" applyFont="1" applyFill="1" applyBorder="1" applyAlignment="1" applyProtection="1">
      <alignment horizontal="left" vertical="center"/>
      <protection/>
    </xf>
    <xf numFmtId="181" fontId="0" fillId="44" borderId="0" xfId="43" applyNumberFormat="1" applyFont="1" applyFill="1" applyBorder="1" applyAlignment="1" applyProtection="1">
      <alignment horizontal="right" vertical="center" indent="1"/>
      <protection/>
    </xf>
    <xf numFmtId="181" fontId="0" fillId="52" borderId="0" xfId="43" applyNumberFormat="1" applyFont="1" applyFill="1" applyBorder="1" applyAlignment="1" applyProtection="1">
      <alignment horizontal="right" vertical="center" indent="1"/>
      <protection/>
    </xf>
    <xf numFmtId="0" fontId="13" fillId="51" borderId="0" xfId="0" applyFont="1" applyFill="1" applyBorder="1" applyAlignment="1" applyProtection="1">
      <alignment horizontal="left" vertical="center"/>
      <protection/>
    </xf>
    <xf numFmtId="181" fontId="13" fillId="51" borderId="0" xfId="0" applyNumberFormat="1" applyFont="1" applyFill="1" applyBorder="1" applyAlignment="1" applyProtection="1">
      <alignment horizontal="right" vertical="top" indent="1"/>
      <protection/>
    </xf>
    <xf numFmtId="9" fontId="13" fillId="51" borderId="0" xfId="56" applyNumberFormat="1" applyFont="1" applyFill="1" applyBorder="1" applyAlignment="1" applyProtection="1">
      <alignment vertical="center"/>
      <protection/>
    </xf>
    <xf numFmtId="0" fontId="13" fillId="40" borderId="0" xfId="0" applyFont="1" applyFill="1" applyBorder="1" applyAlignment="1" applyProtection="1">
      <alignment horizontal="left" vertical="center"/>
      <protection/>
    </xf>
    <xf numFmtId="181" fontId="13" fillId="40" borderId="0" xfId="0" applyNumberFormat="1" applyFont="1" applyFill="1" applyBorder="1" applyAlignment="1" applyProtection="1">
      <alignment horizontal="right" vertical="top" indent="1"/>
      <protection/>
    </xf>
    <xf numFmtId="9" fontId="13" fillId="40" borderId="0" xfId="56" applyNumberFormat="1" applyFont="1" applyFill="1" applyBorder="1" applyAlignment="1" applyProtection="1">
      <alignment vertical="center"/>
      <protection/>
    </xf>
    <xf numFmtId="0" fontId="18" fillId="40" borderId="0" xfId="0" applyFont="1" applyFill="1" applyBorder="1" applyAlignment="1" applyProtection="1">
      <alignment horizontal="left" wrapText="1"/>
      <protection/>
    </xf>
    <xf numFmtId="0" fontId="18" fillId="35" borderId="0" xfId="0" applyFont="1" applyFill="1" applyBorder="1" applyAlignment="1" applyProtection="1">
      <alignment horizontal="left" wrapText="1"/>
      <protection/>
    </xf>
    <xf numFmtId="181" fontId="18" fillId="44" borderId="0" xfId="43" applyNumberFormat="1" applyFont="1" applyFill="1" applyBorder="1" applyAlignment="1" applyProtection="1">
      <alignment horizontal="right" vertical="top" indent="1"/>
      <protection/>
    </xf>
    <xf numFmtId="181" fontId="18" fillId="52" borderId="0" xfId="43" applyNumberFormat="1" applyFont="1" applyFill="1" applyBorder="1" applyAlignment="1" applyProtection="1">
      <alignment horizontal="right" vertical="top" indent="1"/>
      <protection/>
    </xf>
    <xf numFmtId="9" fontId="24" fillId="40" borderId="0" xfId="56" applyNumberFormat="1" applyFont="1" applyFill="1" applyBorder="1" applyAlignment="1" applyProtection="1">
      <alignment/>
      <protection/>
    </xf>
    <xf numFmtId="0" fontId="18" fillId="53" borderId="0" xfId="0" applyFont="1" applyFill="1" applyBorder="1" applyAlignment="1" applyProtection="1">
      <alignment horizontal="left" wrapText="1"/>
      <protection/>
    </xf>
    <xf numFmtId="0" fontId="18" fillId="54" borderId="0" xfId="0" applyFont="1" applyFill="1" applyBorder="1" applyAlignment="1" applyProtection="1">
      <alignment horizontal="left" wrapText="1"/>
      <protection/>
    </xf>
    <xf numFmtId="0" fontId="18" fillId="47" borderId="0" xfId="0" applyFont="1" applyFill="1" applyBorder="1" applyAlignment="1" applyProtection="1">
      <alignment horizontal="left" wrapText="1"/>
      <protection/>
    </xf>
    <xf numFmtId="0" fontId="18" fillId="38" borderId="0" xfId="0" applyFont="1" applyFill="1" applyBorder="1" applyAlignment="1" applyProtection="1">
      <alignment horizontal="left" wrapText="1"/>
      <protection/>
    </xf>
    <xf numFmtId="0" fontId="18" fillId="55" borderId="0" xfId="0" applyFont="1" applyFill="1" applyBorder="1" applyAlignment="1" applyProtection="1">
      <alignment horizontal="left" wrapText="1"/>
      <protection/>
    </xf>
    <xf numFmtId="0" fontId="18" fillId="56" borderId="0" xfId="0" applyFont="1" applyFill="1" applyBorder="1" applyAlignment="1" applyProtection="1">
      <alignment horizontal="left" wrapText="1"/>
      <protection/>
    </xf>
    <xf numFmtId="181" fontId="0" fillId="36" borderId="0" xfId="43" applyNumberFormat="1" applyFont="1" applyFill="1" applyBorder="1" applyAlignment="1" applyProtection="1">
      <alignment horizontal="right" vertical="center" indent="1"/>
      <protection/>
    </xf>
    <xf numFmtId="0" fontId="18" fillId="36" borderId="0" xfId="0" applyFont="1" applyFill="1" applyBorder="1" applyAlignment="1" applyProtection="1">
      <alignment horizontal="left" wrapText="1"/>
      <protection/>
    </xf>
    <xf numFmtId="0" fontId="18" fillId="43" borderId="0" xfId="0" applyFont="1" applyFill="1" applyBorder="1" applyAlignment="1" applyProtection="1">
      <alignment horizontal="left" wrapText="1"/>
      <protection/>
    </xf>
    <xf numFmtId="0" fontId="18" fillId="57" borderId="0" xfId="0" applyFont="1" applyFill="1" applyBorder="1" applyAlignment="1" applyProtection="1">
      <alignment horizontal="left" wrapText="1"/>
      <protection/>
    </xf>
    <xf numFmtId="0" fontId="18" fillId="34" borderId="0" xfId="0" applyFont="1" applyFill="1" applyBorder="1" applyAlignment="1" applyProtection="1">
      <alignment horizontal="left" wrapText="1"/>
      <protection/>
    </xf>
    <xf numFmtId="0" fontId="18" fillId="58" borderId="0" xfId="0" applyFont="1" applyFill="1" applyBorder="1" applyAlignment="1" applyProtection="1">
      <alignment horizontal="left" wrapText="1"/>
      <protection/>
    </xf>
    <xf numFmtId="181" fontId="61" fillId="36" borderId="0" xfId="43" applyNumberFormat="1" applyFont="1" applyFill="1" applyBorder="1" applyAlignment="1" applyProtection="1">
      <alignment horizontal="right" vertical="center" indent="1"/>
      <protection/>
    </xf>
    <xf numFmtId="0" fontId="13" fillId="40" borderId="132" xfId="0" applyFont="1" applyFill="1" applyBorder="1" applyAlignment="1" applyProtection="1">
      <alignment horizontal="left" vertical="center"/>
      <protection/>
    </xf>
    <xf numFmtId="0" fontId="13" fillId="40" borderId="133" xfId="0" applyFont="1" applyFill="1" applyBorder="1" applyAlignment="1" applyProtection="1">
      <alignment horizontal="left" vertical="center"/>
      <protection/>
    </xf>
    <xf numFmtId="181" fontId="13" fillId="40" borderId="133" xfId="0" applyNumberFormat="1" applyFont="1" applyFill="1" applyBorder="1" applyAlignment="1" applyProtection="1">
      <alignment horizontal="right" vertical="top" indent="1"/>
      <protection/>
    </xf>
    <xf numFmtId="9" fontId="13" fillId="40" borderId="134" xfId="56" applyNumberFormat="1" applyFont="1" applyFill="1" applyBorder="1" applyAlignment="1" applyProtection="1">
      <alignment vertical="center"/>
      <protection/>
    </xf>
    <xf numFmtId="0" fontId="1" fillId="0" borderId="135" xfId="0" applyFont="1" applyBorder="1" applyAlignment="1" applyProtection="1">
      <alignment vertical="center"/>
      <protection/>
    </xf>
    <xf numFmtId="0" fontId="1" fillId="0" borderId="136" xfId="0" applyFont="1" applyBorder="1" applyAlignment="1" applyProtection="1">
      <alignment vertical="center"/>
      <protection/>
    </xf>
    <xf numFmtId="0" fontId="18" fillId="0" borderId="135" xfId="0" applyFont="1" applyBorder="1" applyAlignment="1" applyProtection="1">
      <alignment horizontal="left" vertical="center" wrapText="1" indent="1"/>
      <protection/>
    </xf>
    <xf numFmtId="0" fontId="18" fillId="0" borderId="0" xfId="0" applyFont="1" applyBorder="1" applyAlignment="1" applyProtection="1">
      <alignment horizontal="left" vertical="center" wrapText="1" indent="1"/>
      <protection/>
    </xf>
    <xf numFmtId="0" fontId="18" fillId="0" borderId="0" xfId="0" applyFont="1" applyBorder="1" applyAlignment="1" applyProtection="1">
      <alignment vertical="center" wrapText="1"/>
      <protection/>
    </xf>
    <xf numFmtId="9" fontId="5" fillId="0" borderId="136" xfId="56" applyNumberFormat="1" applyFont="1" applyFill="1" applyBorder="1" applyAlignment="1" applyProtection="1">
      <alignment vertical="center"/>
      <protection/>
    </xf>
    <xf numFmtId="181" fontId="18" fillId="44" borderId="0" xfId="43" applyNumberFormat="1" applyFont="1" applyFill="1" applyBorder="1" applyAlignment="1" applyProtection="1">
      <alignment horizontal="right" vertical="center" indent="1"/>
      <protection/>
    </xf>
    <xf numFmtId="181" fontId="18" fillId="52" borderId="0" xfId="43" applyNumberFormat="1" applyFont="1" applyFill="1" applyBorder="1" applyAlignment="1" applyProtection="1">
      <alignment horizontal="right" vertical="center" indent="1"/>
      <protection/>
    </xf>
    <xf numFmtId="0" fontId="0" fillId="40" borderId="0" xfId="0" applyFont="1" applyFill="1" applyBorder="1" applyAlignment="1" applyProtection="1">
      <alignment horizontal="left" vertical="top"/>
      <protection/>
    </xf>
    <xf numFmtId="0" fontId="4" fillId="0" borderId="0" xfId="0" applyFont="1" applyAlignment="1" applyProtection="1">
      <alignment vertical="top"/>
      <protection/>
    </xf>
    <xf numFmtId="0" fontId="0" fillId="40" borderId="0" xfId="0" applyFont="1" applyFill="1" applyBorder="1" applyAlignment="1" applyProtection="1">
      <alignment horizontal="left" vertical="top" wrapText="1"/>
      <protection/>
    </xf>
    <xf numFmtId="0" fontId="35" fillId="0" borderId="0" xfId="0" applyFont="1" applyBorder="1" applyAlignment="1" applyProtection="1">
      <alignment horizontal="left" vertical="top"/>
      <protection/>
    </xf>
    <xf numFmtId="182" fontId="35" fillId="44" borderId="0" xfId="43" applyNumberFormat="1" applyFont="1" applyFill="1" applyBorder="1" applyAlignment="1" applyProtection="1">
      <alignment horizontal="right" vertical="top" indent="1"/>
      <protection/>
    </xf>
    <xf numFmtId="182" fontId="35" fillId="52" borderId="0" xfId="43" applyNumberFormat="1" applyFont="1" applyFill="1" applyBorder="1" applyAlignment="1" applyProtection="1">
      <alignment horizontal="right" vertical="top" indent="1"/>
      <protection/>
    </xf>
    <xf numFmtId="0" fontId="9" fillId="0" borderId="0" xfId="0" applyFont="1" applyAlignment="1" applyProtection="1">
      <alignment vertical="center"/>
      <protection/>
    </xf>
    <xf numFmtId="0" fontId="63" fillId="0" borderId="0" xfId="0" applyFont="1" applyAlignment="1" applyProtection="1">
      <alignment vertical="center"/>
      <protection/>
    </xf>
    <xf numFmtId="0" fontId="6" fillId="0" borderId="0" xfId="0" applyFont="1" applyAlignment="1" applyProtection="1">
      <alignment/>
      <protection/>
    </xf>
    <xf numFmtId="0" fontId="8" fillId="51" borderId="137" xfId="0" applyFont="1" applyFill="1" applyBorder="1" applyAlignment="1" applyProtection="1">
      <alignment horizontal="left" vertical="center"/>
      <protection/>
    </xf>
    <xf numFmtId="181" fontId="8" fillId="51" borderId="138" xfId="43" applyNumberFormat="1" applyFont="1" applyFill="1" applyBorder="1" applyAlignment="1" applyProtection="1">
      <alignment horizontal="right" vertical="center" indent="1"/>
      <protection/>
    </xf>
    <xf numFmtId="181" fontId="8" fillId="51" borderId="139" xfId="43" applyNumberFormat="1" applyFont="1" applyFill="1" applyBorder="1" applyAlignment="1" applyProtection="1">
      <alignment horizontal="right" vertical="center" indent="1"/>
      <protection/>
    </xf>
    <xf numFmtId="0" fontId="6" fillId="0" borderId="0" xfId="0" applyFont="1" applyAlignment="1" applyProtection="1">
      <alignment vertical="top"/>
      <protection/>
    </xf>
    <xf numFmtId="0" fontId="18" fillId="40" borderId="43" xfId="0" applyFont="1" applyFill="1" applyBorder="1" applyAlignment="1" applyProtection="1">
      <alignment horizontal="left"/>
      <protection/>
    </xf>
    <xf numFmtId="181" fontId="18" fillId="44" borderId="43" xfId="43" applyNumberFormat="1" applyFont="1" applyFill="1" applyBorder="1" applyAlignment="1" applyProtection="1">
      <alignment horizontal="right" indent="1"/>
      <protection/>
    </xf>
    <xf numFmtId="181" fontId="18" fillId="52" borderId="43" xfId="43" applyNumberFormat="1" applyFont="1" applyFill="1" applyBorder="1" applyAlignment="1" applyProtection="1">
      <alignment horizontal="right" indent="1"/>
      <protection/>
    </xf>
    <xf numFmtId="0" fontId="18" fillId="40" borderId="140" xfId="0" applyFont="1" applyFill="1" applyBorder="1" applyAlignment="1" applyProtection="1">
      <alignment horizontal="left" vertical="top"/>
      <protection/>
    </xf>
    <xf numFmtId="181" fontId="18" fillId="44" borderId="140" xfId="43" applyNumberFormat="1" applyFont="1" applyFill="1" applyBorder="1" applyAlignment="1" applyProtection="1">
      <alignment horizontal="right" vertical="top" indent="1"/>
      <protection/>
    </xf>
    <xf numFmtId="181" fontId="18" fillId="52" borderId="140" xfId="43" applyNumberFormat="1" applyFont="1" applyFill="1" applyBorder="1" applyAlignment="1" applyProtection="1">
      <alignment horizontal="right" vertical="top" indent="1"/>
      <protection/>
    </xf>
    <xf numFmtId="0" fontId="17" fillId="40" borderId="141" xfId="0" applyFont="1" applyFill="1" applyBorder="1" applyAlignment="1" applyProtection="1">
      <alignment horizontal="right" vertical="top"/>
      <protection/>
    </xf>
    <xf numFmtId="181" fontId="17" fillId="44" borderId="141" xfId="43" applyNumberFormat="1" applyFont="1" applyFill="1" applyBorder="1" applyAlignment="1" applyProtection="1">
      <alignment horizontal="right" vertical="top" indent="1"/>
      <protection/>
    </xf>
    <xf numFmtId="181" fontId="17" fillId="52" borderId="43" xfId="43" applyNumberFormat="1" applyFont="1" applyFill="1" applyBorder="1" applyAlignment="1" applyProtection="1">
      <alignment horizontal="right" vertical="top" indent="1"/>
      <protection/>
    </xf>
    <xf numFmtId="0" fontId="1" fillId="0" borderId="142" xfId="0" applyFont="1" applyBorder="1" applyAlignment="1" applyProtection="1">
      <alignment vertical="center"/>
      <protection/>
    </xf>
    <xf numFmtId="0" fontId="1" fillId="0" borderId="143" xfId="0" applyFont="1" applyBorder="1" applyAlignment="1" applyProtection="1">
      <alignment vertical="center"/>
      <protection/>
    </xf>
    <xf numFmtId="0" fontId="1" fillId="0" borderId="144" xfId="0" applyFont="1" applyBorder="1" applyAlignment="1" applyProtection="1">
      <alignment vertical="center"/>
      <protection/>
    </xf>
    <xf numFmtId="0" fontId="18" fillId="0" borderId="0" xfId="0" applyFont="1" applyFill="1" applyBorder="1" applyAlignment="1" applyProtection="1">
      <alignment horizontal="left" vertical="top"/>
      <protection/>
    </xf>
    <xf numFmtId="0" fontId="18" fillId="0" borderId="0" xfId="0" applyFont="1" applyAlignment="1" applyProtection="1">
      <alignment horizontal="left" vertical="top"/>
      <protection/>
    </xf>
    <xf numFmtId="0" fontId="18" fillId="0" borderId="0" xfId="0" applyFont="1" applyBorder="1" applyAlignment="1" applyProtection="1">
      <alignment vertical="top"/>
      <protection/>
    </xf>
    <xf numFmtId="0" fontId="0" fillId="0" borderId="0" xfId="0" applyFont="1" applyBorder="1" applyAlignment="1" applyProtection="1">
      <alignment vertical="center"/>
      <protection/>
    </xf>
    <xf numFmtId="0" fontId="0" fillId="0" borderId="0" xfId="0" applyFont="1" applyFill="1" applyBorder="1" applyAlignment="1" applyProtection="1">
      <alignment horizontal="left" vertical="top"/>
      <protection/>
    </xf>
    <xf numFmtId="181" fontId="17" fillId="44" borderId="0" xfId="43" applyNumberFormat="1" applyFont="1" applyFill="1" applyBorder="1" applyAlignment="1" applyProtection="1">
      <alignment horizontal="right" vertical="top" indent="1"/>
      <protection/>
    </xf>
    <xf numFmtId="181" fontId="17" fillId="52" borderId="0" xfId="43" applyNumberFormat="1" applyFont="1" applyFill="1" applyBorder="1" applyAlignment="1" applyProtection="1">
      <alignment horizontal="right" vertical="top" indent="1"/>
      <protection/>
    </xf>
    <xf numFmtId="0" fontId="1" fillId="0" borderId="0" xfId="0" applyFont="1" applyBorder="1" applyAlignment="1" applyProtection="1">
      <alignment vertical="top"/>
      <protection/>
    </xf>
    <xf numFmtId="0" fontId="0" fillId="0" borderId="43" xfId="0" applyFont="1" applyFill="1" applyBorder="1" applyAlignment="1" applyProtection="1">
      <alignment horizontal="left" vertical="top"/>
      <protection/>
    </xf>
    <xf numFmtId="181" fontId="17" fillId="44" borderId="43" xfId="43" applyNumberFormat="1" applyFont="1" applyFill="1" applyBorder="1" applyAlignment="1" applyProtection="1">
      <alignment horizontal="right" vertical="top" indent="1"/>
      <protection/>
    </xf>
    <xf numFmtId="0" fontId="0" fillId="0" borderId="0" xfId="0" applyFont="1" applyAlignment="1" applyProtection="1">
      <alignment horizontal="left" vertical="top"/>
      <protection/>
    </xf>
    <xf numFmtId="0" fontId="0" fillId="0" borderId="0" xfId="0" applyFont="1" applyAlignment="1" applyProtection="1">
      <alignment horizontal="right" vertical="top" indent="1"/>
      <protection/>
    </xf>
    <xf numFmtId="0" fontId="0" fillId="0" borderId="0" xfId="0" applyFont="1" applyAlignment="1" applyProtection="1">
      <alignment horizontal="center" vertical="top"/>
      <protection/>
    </xf>
    <xf numFmtId="0" fontId="8" fillId="51" borderId="0" xfId="0" applyFont="1" applyFill="1" applyBorder="1" applyAlignment="1" applyProtection="1">
      <alignment horizontal="left" vertical="center"/>
      <protection/>
    </xf>
    <xf numFmtId="173" fontId="64" fillId="51" borderId="0" xfId="43" applyNumberFormat="1" applyFont="1" applyFill="1" applyBorder="1" applyAlignment="1" applyProtection="1">
      <alignment horizontal="right" indent="1"/>
      <protection/>
    </xf>
    <xf numFmtId="0" fontId="18" fillId="40" borderId="43" xfId="0" applyFont="1" applyFill="1" applyBorder="1" applyAlignment="1" applyProtection="1">
      <alignment horizontal="left" vertical="top" wrapText="1"/>
      <protection/>
    </xf>
    <xf numFmtId="181" fontId="18" fillId="44" borderId="43" xfId="43" applyNumberFormat="1" applyFont="1" applyFill="1" applyBorder="1" applyAlignment="1" applyProtection="1">
      <alignment horizontal="right" vertical="center" wrapText="1" indent="1"/>
      <protection/>
    </xf>
    <xf numFmtId="181" fontId="18" fillId="52" borderId="43" xfId="43" applyNumberFormat="1" applyFont="1" applyFill="1" applyBorder="1" applyAlignment="1" applyProtection="1">
      <alignment horizontal="right" vertical="center" wrapText="1" indent="1"/>
      <protection/>
    </xf>
    <xf numFmtId="0" fontId="0" fillId="0" borderId="0" xfId="0" applyFont="1" applyBorder="1" applyAlignment="1" applyProtection="1">
      <alignment horizontal="center" vertical="top"/>
      <protection/>
    </xf>
    <xf numFmtId="0" fontId="6" fillId="0" borderId="0" xfId="0" applyFont="1" applyAlignment="1" applyProtection="1">
      <alignment horizontal="center" vertical="top"/>
      <protection/>
    </xf>
    <xf numFmtId="0" fontId="0" fillId="0" borderId="0" xfId="0" applyFont="1" applyFill="1" applyBorder="1" applyAlignment="1" applyProtection="1">
      <alignment horizontal="center" vertical="top"/>
      <protection/>
    </xf>
    <xf numFmtId="9" fontId="15" fillId="0" borderId="0" xfId="56" applyNumberFormat="1" applyFont="1" applyFill="1" applyBorder="1" applyAlignment="1" applyProtection="1">
      <alignment vertical="center"/>
      <protection/>
    </xf>
    <xf numFmtId="0" fontId="1" fillId="0" borderId="0" xfId="0" applyFont="1" applyFill="1" applyAlignment="1" applyProtection="1">
      <alignment horizontal="center" vertical="top"/>
      <protection/>
    </xf>
    <xf numFmtId="0" fontId="4" fillId="0" borderId="0" xfId="0" applyFont="1" applyAlignment="1" applyProtection="1">
      <alignment horizontal="center" vertical="top"/>
      <protection/>
    </xf>
    <xf numFmtId="0" fontId="6" fillId="0" borderId="0" xfId="0" applyFont="1" applyAlignment="1">
      <alignment horizontal="right"/>
    </xf>
    <xf numFmtId="0" fontId="1" fillId="0" borderId="0" xfId="0" applyFont="1" applyAlignment="1" applyProtection="1">
      <alignment horizontal="right" vertical="center"/>
      <protection/>
    </xf>
    <xf numFmtId="0" fontId="31" fillId="0" borderId="131" xfId="0" applyFont="1" applyBorder="1" applyAlignment="1" applyProtection="1">
      <alignment horizontal="center" vertical="center"/>
      <protection/>
    </xf>
    <xf numFmtId="0" fontId="8" fillId="51" borderId="145" xfId="0" applyFont="1" applyFill="1" applyBorder="1" applyAlignment="1" applyProtection="1">
      <alignment horizontal="left" vertical="center"/>
      <protection/>
    </xf>
    <xf numFmtId="0" fontId="8" fillId="51" borderId="146" xfId="0" applyFont="1" applyFill="1" applyBorder="1" applyAlignment="1" applyProtection="1">
      <alignment vertical="top"/>
      <protection/>
    </xf>
    <xf numFmtId="0" fontId="8" fillId="51" borderId="147" xfId="0" applyFont="1" applyFill="1" applyBorder="1" applyAlignment="1" applyProtection="1">
      <alignment vertical="top"/>
      <protection/>
    </xf>
    <xf numFmtId="0" fontId="6" fillId="0" borderId="0" xfId="0" applyFont="1" applyAlignment="1" applyProtection="1">
      <alignment horizontal="right" vertical="center"/>
      <protection/>
    </xf>
    <xf numFmtId="0" fontId="14" fillId="40" borderId="145" xfId="0" applyFont="1" applyFill="1" applyBorder="1" applyAlignment="1" applyProtection="1">
      <alignment horizontal="left" vertical="center" wrapText="1"/>
      <protection/>
    </xf>
    <xf numFmtId="181" fontId="14" fillId="44" borderId="146" xfId="43" applyNumberFormat="1" applyFont="1" applyFill="1" applyBorder="1" applyAlignment="1" applyProtection="1">
      <alignment horizontal="right" vertical="center" indent="1"/>
      <protection/>
    </xf>
    <xf numFmtId="181" fontId="14" fillId="52" borderId="146" xfId="43" applyNumberFormat="1" applyFont="1" applyFill="1" applyBorder="1" applyAlignment="1" applyProtection="1">
      <alignment horizontal="right" vertical="center" indent="1"/>
      <protection/>
    </xf>
    <xf numFmtId="9" fontId="59" fillId="40" borderId="147" xfId="56" applyNumberFormat="1" applyFont="1" applyFill="1" applyBorder="1" applyAlignment="1" applyProtection="1">
      <alignment vertical="center"/>
      <protection/>
    </xf>
    <xf numFmtId="0" fontId="21" fillId="0" borderId="0" xfId="0" applyFont="1" applyAlignment="1" applyProtection="1">
      <alignment horizontal="right" vertical="center"/>
      <protection/>
    </xf>
    <xf numFmtId="0" fontId="14" fillId="40" borderId="148" xfId="0" applyFont="1" applyFill="1" applyBorder="1" applyAlignment="1" applyProtection="1">
      <alignment horizontal="left" vertical="center" wrapText="1"/>
      <protection/>
    </xf>
    <xf numFmtId="181" fontId="14" fillId="44" borderId="149" xfId="43" applyNumberFormat="1" applyFont="1" applyFill="1" applyBorder="1" applyAlignment="1" applyProtection="1">
      <alignment horizontal="right" vertical="center" indent="1"/>
      <protection/>
    </xf>
    <xf numFmtId="181" fontId="14" fillId="52" borderId="149" xfId="43" applyNumberFormat="1" applyFont="1" applyFill="1" applyBorder="1" applyAlignment="1" applyProtection="1">
      <alignment horizontal="right" vertical="center" indent="1"/>
      <protection/>
    </xf>
    <xf numFmtId="9" fontId="59" fillId="40" borderId="150" xfId="56" applyNumberFormat="1" applyFont="1" applyFill="1" applyBorder="1" applyAlignment="1" applyProtection="1">
      <alignment vertical="center"/>
      <protection/>
    </xf>
    <xf numFmtId="0" fontId="14" fillId="0" borderId="0" xfId="0" applyFont="1" applyFill="1" applyBorder="1" applyAlignment="1" applyProtection="1">
      <alignment horizontal="left" vertical="center" wrapText="1"/>
      <protection/>
    </xf>
    <xf numFmtId="181" fontId="59" fillId="0" borderId="0" xfId="43" applyNumberFormat="1" applyFont="1" applyFill="1" applyBorder="1" applyAlignment="1" applyProtection="1">
      <alignment horizontal="right" vertical="center" indent="1"/>
      <protection/>
    </xf>
    <xf numFmtId="9" fontId="59" fillId="0" borderId="0" xfId="56" applyNumberFormat="1" applyFont="1" applyFill="1" applyBorder="1" applyAlignment="1" applyProtection="1">
      <alignment vertical="center"/>
      <protection/>
    </xf>
    <xf numFmtId="0" fontId="28" fillId="0" borderId="0" xfId="0" applyFont="1" applyFill="1" applyBorder="1" applyAlignment="1" applyProtection="1">
      <alignment horizontal="left" vertical="center" wrapText="1"/>
      <protection/>
    </xf>
    <xf numFmtId="181" fontId="65" fillId="0" borderId="0" xfId="43" applyNumberFormat="1" applyFont="1" applyFill="1" applyBorder="1" applyAlignment="1" applyProtection="1">
      <alignment horizontal="right" vertical="center" indent="1"/>
      <protection/>
    </xf>
    <xf numFmtId="9" fontId="59" fillId="40" borderId="0" xfId="56" applyNumberFormat="1" applyFont="1" applyFill="1" applyBorder="1" applyAlignment="1" applyProtection="1">
      <alignment vertical="center"/>
      <protection/>
    </xf>
    <xf numFmtId="0" fontId="8" fillId="51" borderId="0" xfId="0" applyFont="1" applyFill="1" applyBorder="1" applyAlignment="1" applyProtection="1">
      <alignment horizontal="right" vertical="top"/>
      <protection/>
    </xf>
    <xf numFmtId="0" fontId="8" fillId="51" borderId="0" xfId="0" applyFont="1" applyFill="1" applyBorder="1" applyAlignment="1" applyProtection="1">
      <alignment vertical="top"/>
      <protection/>
    </xf>
    <xf numFmtId="0" fontId="14" fillId="40" borderId="151" xfId="0" applyFont="1" applyFill="1" applyBorder="1" applyAlignment="1" applyProtection="1">
      <alignment horizontal="left" vertical="center" wrapText="1"/>
      <protection/>
    </xf>
    <xf numFmtId="172" fontId="18" fillId="38" borderId="152" xfId="43" applyNumberFormat="1" applyFont="1" applyFill="1" applyBorder="1" applyAlignment="1" applyProtection="1">
      <alignment horizontal="right" vertical="center" indent="1"/>
      <protection locked="0"/>
    </xf>
    <xf numFmtId="172" fontId="18" fillId="52" borderId="152" xfId="43" applyNumberFormat="1" applyFont="1" applyFill="1" applyBorder="1" applyAlignment="1" applyProtection="1">
      <alignment horizontal="right" vertical="center" indent="1"/>
      <protection/>
    </xf>
    <xf numFmtId="0" fontId="0" fillId="40" borderId="147" xfId="0" applyFont="1" applyFill="1" applyBorder="1" applyAlignment="1" applyProtection="1">
      <alignment horizontal="center" vertical="center"/>
      <protection/>
    </xf>
    <xf numFmtId="0" fontId="14" fillId="40" borderId="153" xfId="0" applyFont="1" applyFill="1" applyBorder="1" applyAlignment="1" applyProtection="1">
      <alignment horizontal="left" vertical="center" wrapText="1"/>
      <protection/>
    </xf>
    <xf numFmtId="181" fontId="18" fillId="44" borderId="26" xfId="43" applyNumberFormat="1" applyFont="1" applyFill="1" applyBorder="1" applyAlignment="1" applyProtection="1">
      <alignment horizontal="right" vertical="center" indent="1"/>
      <protection/>
    </xf>
    <xf numFmtId="181" fontId="18" fillId="52" borderId="26" xfId="43" applyNumberFormat="1" applyFont="1" applyFill="1" applyBorder="1" applyAlignment="1" applyProtection="1">
      <alignment horizontal="right" vertical="center" indent="1"/>
      <protection/>
    </xf>
    <xf numFmtId="9" fontId="59" fillId="40" borderId="154" xfId="56" applyNumberFormat="1" applyFont="1" applyFill="1" applyBorder="1" applyAlignment="1" applyProtection="1">
      <alignment vertical="center"/>
      <protection/>
    </xf>
    <xf numFmtId="0" fontId="14" fillId="0" borderId="155" xfId="0" applyFont="1" applyFill="1" applyBorder="1" applyAlignment="1" applyProtection="1">
      <alignment horizontal="left" vertical="center" wrapText="1"/>
      <protection/>
    </xf>
    <xf numFmtId="181" fontId="59" fillId="52" borderId="0" xfId="43" applyNumberFormat="1" applyFont="1" applyFill="1" applyBorder="1" applyAlignment="1" applyProtection="1">
      <alignment horizontal="right" vertical="center" indent="1"/>
      <protection/>
    </xf>
    <xf numFmtId="181" fontId="59" fillId="52" borderId="26" xfId="43" applyNumberFormat="1" applyFont="1" applyFill="1" applyBorder="1" applyAlignment="1" applyProtection="1">
      <alignment horizontal="right" vertical="center" indent="1"/>
      <protection/>
    </xf>
    <xf numFmtId="0" fontId="36" fillId="36" borderId="148" xfId="0" applyFont="1" applyFill="1" applyBorder="1" applyAlignment="1" applyProtection="1">
      <alignment horizontal="left" vertical="center" wrapText="1"/>
      <protection/>
    </xf>
    <xf numFmtId="181" fontId="66" fillId="36" borderId="150" xfId="43" applyNumberFormat="1" applyFont="1" applyFill="1" applyBorder="1" applyAlignment="1" applyProtection="1">
      <alignment horizontal="right" vertical="center" indent="1"/>
      <protection/>
    </xf>
    <xf numFmtId="181" fontId="24" fillId="52" borderId="156" xfId="43" applyNumberFormat="1" applyFont="1" applyFill="1" applyBorder="1" applyAlignment="1" applyProtection="1">
      <alignment horizontal="right" vertical="center" indent="1"/>
      <protection/>
    </xf>
    <xf numFmtId="9" fontId="59" fillId="40" borderId="157" xfId="56" applyNumberFormat="1" applyFont="1" applyFill="1" applyBorder="1" applyAlignment="1" applyProtection="1">
      <alignment vertical="center"/>
      <protection/>
    </xf>
    <xf numFmtId="181" fontId="18" fillId="0" borderId="0" xfId="43" applyNumberFormat="1" applyFont="1" applyFill="1" applyBorder="1" applyAlignment="1" applyProtection="1">
      <alignment horizontal="right" vertical="center" indent="1"/>
      <protection/>
    </xf>
    <xf numFmtId="181" fontId="39" fillId="0" borderId="0" xfId="43" applyNumberFormat="1" applyFont="1" applyFill="1" applyBorder="1" applyAlignment="1" applyProtection="1">
      <alignment horizontal="right" vertical="center" indent="1"/>
      <protection/>
    </xf>
    <xf numFmtId="0" fontId="13" fillId="0" borderId="0" xfId="0" applyFont="1" applyFill="1" applyBorder="1" applyAlignment="1" applyProtection="1">
      <alignment horizontal="left" vertical="center"/>
      <protection/>
    </xf>
    <xf numFmtId="181" fontId="13" fillId="0" borderId="0" xfId="0" applyNumberFormat="1" applyFont="1" applyFill="1" applyBorder="1" applyAlignment="1" applyProtection="1">
      <alignment horizontal="right" vertical="top" indent="1"/>
      <protection/>
    </xf>
    <xf numFmtId="9" fontId="13" fillId="0" borderId="0" xfId="56" applyNumberFormat="1" applyFont="1" applyFill="1" applyBorder="1" applyAlignment="1" applyProtection="1">
      <alignment vertical="center"/>
      <protection/>
    </xf>
    <xf numFmtId="9" fontId="5" fillId="0" borderId="0" xfId="56" applyNumberFormat="1" applyFont="1" applyFill="1" applyBorder="1" applyAlignment="1" applyProtection="1">
      <alignment vertical="center"/>
      <protection/>
    </xf>
    <xf numFmtId="0" fontId="1" fillId="0" borderId="158" xfId="0" applyFont="1" applyBorder="1" applyAlignment="1" applyProtection="1">
      <alignment vertical="center"/>
      <protection/>
    </xf>
    <xf numFmtId="0" fontId="1" fillId="0" borderId="159" xfId="0" applyFont="1" applyBorder="1" applyAlignment="1" applyProtection="1">
      <alignment vertical="center"/>
      <protection/>
    </xf>
    <xf numFmtId="0" fontId="0" fillId="0" borderId="158" xfId="0" applyFont="1" applyBorder="1" applyAlignment="1" applyProtection="1">
      <alignment vertical="center"/>
      <protection/>
    </xf>
    <xf numFmtId="0" fontId="0" fillId="0" borderId="159" xfId="0" applyFont="1" applyBorder="1" applyAlignment="1" applyProtection="1">
      <alignment vertical="center"/>
      <protection/>
    </xf>
    <xf numFmtId="0" fontId="1" fillId="0" borderId="160" xfId="0" applyFont="1" applyBorder="1" applyAlignment="1" applyProtection="1">
      <alignment vertical="top"/>
      <protection/>
    </xf>
    <xf numFmtId="0" fontId="1" fillId="0" borderId="161" xfId="0" applyFont="1" applyBorder="1" applyAlignment="1" applyProtection="1">
      <alignment vertical="top"/>
      <protection/>
    </xf>
    <xf numFmtId="0" fontId="1" fillId="0" borderId="162" xfId="0" applyFont="1" applyBorder="1" applyAlignment="1" applyProtection="1">
      <alignment vertical="top"/>
      <protection/>
    </xf>
    <xf numFmtId="0" fontId="4" fillId="0" borderId="0" xfId="0" applyFont="1" applyAlignment="1" applyProtection="1">
      <alignment horizontal="right" vertical="top"/>
      <protection/>
    </xf>
    <xf numFmtId="0" fontId="14" fillId="40" borderId="0" xfId="0" applyFont="1" applyFill="1" applyBorder="1" applyAlignment="1" applyProtection="1">
      <alignment horizontal="left" wrapText="1"/>
      <protection/>
    </xf>
    <xf numFmtId="181" fontId="14" fillId="44" borderId="0" xfId="43" applyNumberFormat="1" applyFont="1" applyFill="1" applyBorder="1" applyAlignment="1" applyProtection="1">
      <alignment horizontal="center" vertical="center"/>
      <protection/>
    </xf>
    <xf numFmtId="181" fontId="1" fillId="52" borderId="0" xfId="43" applyNumberFormat="1" applyFont="1" applyFill="1" applyBorder="1" applyAlignment="1" applyProtection="1">
      <alignment horizontal="center" vertical="center"/>
      <protection/>
    </xf>
    <xf numFmtId="9" fontId="59" fillId="40" borderId="0" xfId="56" applyNumberFormat="1" applyFont="1" applyFill="1" applyBorder="1" applyAlignment="1" applyProtection="1">
      <alignment/>
      <protection/>
    </xf>
    <xf numFmtId="0" fontId="67" fillId="0" borderId="0" xfId="0" applyFont="1" applyBorder="1" applyAlignment="1" applyProtection="1">
      <alignment horizontal="left" vertical="top"/>
      <protection/>
    </xf>
    <xf numFmtId="182" fontId="67" fillId="44" borderId="0" xfId="43" applyNumberFormat="1" applyFont="1" applyFill="1" applyBorder="1" applyAlignment="1" applyProtection="1">
      <alignment horizontal="right" vertical="top" indent="1"/>
      <protection/>
    </xf>
    <xf numFmtId="182" fontId="67" fillId="52" borderId="0" xfId="43" applyNumberFormat="1" applyFont="1" applyFill="1" applyBorder="1" applyAlignment="1" applyProtection="1">
      <alignment horizontal="right" vertical="top" indent="1"/>
      <protection/>
    </xf>
    <xf numFmtId="0" fontId="1" fillId="40" borderId="0" xfId="0" applyFont="1" applyFill="1" applyBorder="1" applyAlignment="1" applyProtection="1">
      <alignment horizontal="left" vertical="top" wrapText="1"/>
      <protection/>
    </xf>
    <xf numFmtId="181" fontId="1" fillId="44" borderId="0" xfId="43" applyNumberFormat="1" applyFont="1" applyFill="1" applyBorder="1" applyAlignment="1" applyProtection="1">
      <alignment horizontal="center" vertical="center"/>
      <protection/>
    </xf>
    <xf numFmtId="9" fontId="15" fillId="40" borderId="0" xfId="56" applyNumberFormat="1" applyFont="1" applyFill="1" applyBorder="1" applyAlignment="1" applyProtection="1">
      <alignment vertical="top"/>
      <protection/>
    </xf>
    <xf numFmtId="0" fontId="63" fillId="0" borderId="0" xfId="0" applyFont="1" applyAlignment="1" applyProtection="1">
      <alignment horizontal="right" vertical="center"/>
      <protection/>
    </xf>
    <xf numFmtId="0" fontId="9" fillId="0" borderId="0" xfId="0" applyFont="1" applyAlignment="1" applyProtection="1">
      <alignment horizontal="right" vertical="center"/>
      <protection/>
    </xf>
    <xf numFmtId="0" fontId="17" fillId="40" borderId="0" xfId="0" applyFont="1" applyFill="1" applyBorder="1" applyAlignment="1" applyProtection="1">
      <alignment horizontal="left" vertical="top" wrapText="1"/>
      <protection/>
    </xf>
    <xf numFmtId="0" fontId="6" fillId="0" borderId="0" xfId="0" applyFont="1" applyAlignment="1" applyProtection="1">
      <alignment horizontal="right"/>
      <protection/>
    </xf>
    <xf numFmtId="0" fontId="8" fillId="51" borderId="163" xfId="0" applyFont="1" applyFill="1" applyBorder="1" applyAlignment="1" applyProtection="1">
      <alignment horizontal="left" vertical="center"/>
      <protection/>
    </xf>
    <xf numFmtId="181" fontId="8" fillId="51" borderId="164" xfId="43" applyNumberFormat="1" applyFont="1" applyFill="1" applyBorder="1" applyAlignment="1" applyProtection="1">
      <alignment horizontal="right" vertical="center" indent="1"/>
      <protection/>
    </xf>
    <xf numFmtId="181" fontId="8" fillId="51" borderId="165" xfId="43" applyNumberFormat="1" applyFont="1" applyFill="1" applyBorder="1" applyAlignment="1" applyProtection="1">
      <alignment horizontal="right" vertical="center" indent="1"/>
      <protection/>
    </xf>
    <xf numFmtId="0" fontId="14" fillId="40" borderId="0" xfId="0" applyFont="1" applyFill="1" applyBorder="1" applyAlignment="1" applyProtection="1">
      <alignment horizontal="left" vertical="top" wrapText="1"/>
      <protection/>
    </xf>
    <xf numFmtId="9" fontId="59" fillId="40" borderId="0" xfId="56" applyNumberFormat="1" applyFont="1" applyFill="1" applyBorder="1" applyAlignment="1" applyProtection="1">
      <alignment vertical="top"/>
      <protection/>
    </xf>
    <xf numFmtId="0" fontId="6" fillId="0" borderId="0" xfId="0" applyFont="1" applyAlignment="1" applyProtection="1">
      <alignment horizontal="right" vertical="top"/>
      <protection/>
    </xf>
    <xf numFmtId="0" fontId="1" fillId="40" borderId="0" xfId="0" applyFont="1" applyFill="1" applyAlignment="1" applyProtection="1">
      <alignment horizontal="left" vertical="top" wrapText="1"/>
      <protection/>
    </xf>
    <xf numFmtId="0" fontId="14" fillId="40" borderId="0" xfId="0" applyFont="1" applyFill="1" applyAlignment="1" applyProtection="1">
      <alignment horizontal="left" vertical="top" wrapText="1"/>
      <protection/>
    </xf>
    <xf numFmtId="0" fontId="0" fillId="40" borderId="43" xfId="0" applyFont="1" applyFill="1" applyBorder="1" applyAlignment="1" applyProtection="1">
      <alignment horizontal="right" vertical="top"/>
      <protection/>
    </xf>
    <xf numFmtId="181" fontId="18" fillId="52" borderId="43" xfId="43" applyNumberFormat="1" applyFont="1" applyFill="1" applyBorder="1" applyAlignment="1" applyProtection="1">
      <alignment horizontal="right" vertical="top" indent="1"/>
      <protection/>
    </xf>
    <xf numFmtId="181" fontId="14" fillId="52" borderId="0" xfId="43" applyNumberFormat="1" applyFont="1" applyFill="1" applyBorder="1" applyAlignment="1" applyProtection="1">
      <alignment horizontal="center" vertical="center"/>
      <protection/>
    </xf>
    <xf numFmtId="0" fontId="68" fillId="37" borderId="0" xfId="0" applyFont="1" applyFill="1" applyBorder="1" applyAlignment="1" applyProtection="1">
      <alignment horizontal="left" vertical="top" wrapText="1"/>
      <protection/>
    </xf>
    <xf numFmtId="181" fontId="24" fillId="44" borderId="166" xfId="43" applyNumberFormat="1" applyFont="1" applyFill="1" applyBorder="1" applyAlignment="1" applyProtection="1">
      <alignment horizontal="center" vertical="center"/>
      <protection/>
    </xf>
    <xf numFmtId="181" fontId="24" fillId="52" borderId="166" xfId="43" applyNumberFormat="1" applyFont="1" applyFill="1" applyBorder="1" applyAlignment="1" applyProtection="1">
      <alignment horizontal="center" vertical="center"/>
      <protection/>
    </xf>
    <xf numFmtId="9" fontId="2" fillId="0" borderId="0" xfId="56" applyNumberFormat="1" applyFont="1" applyFill="1" applyBorder="1" applyAlignment="1" applyProtection="1">
      <alignment vertical="center"/>
      <protection/>
    </xf>
    <xf numFmtId="0" fontId="0" fillId="0" borderId="0" xfId="0" applyFont="1" applyAlignment="1" applyProtection="1">
      <alignment horizontal="right" vertical="top"/>
      <protection/>
    </xf>
    <xf numFmtId="181" fontId="0" fillId="44" borderId="0" xfId="0" applyNumberFormat="1" applyFont="1" applyFill="1" applyAlignment="1" applyProtection="1">
      <alignment horizontal="center" vertical="center"/>
      <protection/>
    </xf>
    <xf numFmtId="181" fontId="0" fillId="52" borderId="0" xfId="0" applyNumberFormat="1" applyFont="1" applyFill="1" applyAlignment="1" applyProtection="1">
      <alignment horizontal="center" vertical="center"/>
      <protection/>
    </xf>
    <xf numFmtId="0" fontId="0" fillId="0" borderId="0" xfId="0" applyFont="1" applyAlignment="1" applyProtection="1">
      <alignment horizontal="right"/>
      <protection/>
    </xf>
    <xf numFmtId="0" fontId="18" fillId="0" borderId="0" xfId="0" applyFont="1" applyAlignment="1" applyProtection="1">
      <alignment vertical="center" wrapText="1"/>
      <protection/>
    </xf>
    <xf numFmtId="4" fontId="18" fillId="44" borderId="0" xfId="0" applyNumberFormat="1" applyFont="1" applyFill="1" applyAlignment="1" applyProtection="1">
      <alignment horizontal="center" vertical="center"/>
      <protection/>
    </xf>
    <xf numFmtId="4" fontId="18" fillId="52" borderId="0" xfId="0" applyNumberFormat="1" applyFont="1" applyFill="1" applyAlignment="1" applyProtection="1">
      <alignment horizontal="center" vertical="center"/>
      <protection/>
    </xf>
    <xf numFmtId="0" fontId="8" fillId="39" borderId="0" xfId="0" applyFont="1" applyFill="1" applyBorder="1" applyAlignment="1" applyProtection="1">
      <alignment vertical="center"/>
      <protection/>
    </xf>
    <xf numFmtId="0" fontId="6" fillId="0" borderId="0" xfId="0" applyFont="1" applyBorder="1" applyAlignment="1" applyProtection="1">
      <alignment horizontal="right" vertical="top"/>
      <protection/>
    </xf>
    <xf numFmtId="185" fontId="14" fillId="40" borderId="0" xfId="0" applyNumberFormat="1" applyFont="1" applyFill="1" applyBorder="1" applyAlignment="1" applyProtection="1">
      <alignment horizontal="left" vertical="top"/>
      <protection/>
    </xf>
    <xf numFmtId="181" fontId="14" fillId="44" borderId="0" xfId="43" applyNumberFormat="1" applyFont="1" applyFill="1" applyBorder="1" applyAlignment="1" applyProtection="1">
      <alignment horizontal="center" vertical="top"/>
      <protection/>
    </xf>
    <xf numFmtId="181" fontId="14" fillId="52" borderId="0" xfId="43" applyNumberFormat="1" applyFont="1" applyFill="1" applyBorder="1" applyAlignment="1" applyProtection="1">
      <alignment horizontal="center" vertical="top"/>
      <protection/>
    </xf>
    <xf numFmtId="185" fontId="1" fillId="40" borderId="0" xfId="0" applyNumberFormat="1" applyFont="1" applyFill="1" applyBorder="1" applyAlignment="1" applyProtection="1">
      <alignment horizontal="left" vertical="top"/>
      <protection/>
    </xf>
    <xf numFmtId="9" fontId="1" fillId="44" borderId="0" xfId="56" applyFont="1" applyFill="1" applyBorder="1" applyAlignment="1" applyProtection="1">
      <alignment horizontal="center" vertical="top"/>
      <protection/>
    </xf>
    <xf numFmtId="9" fontId="1" fillId="52" borderId="0" xfId="56" applyFont="1" applyFill="1" applyBorder="1" applyAlignment="1" applyProtection="1">
      <alignment horizontal="center" vertical="top"/>
      <protection/>
    </xf>
    <xf numFmtId="9" fontId="15" fillId="40" borderId="0" xfId="56" applyNumberFormat="1" applyFont="1" applyFill="1" applyBorder="1" applyAlignment="1" applyProtection="1">
      <alignment/>
      <protection/>
    </xf>
    <xf numFmtId="0" fontId="69" fillId="0" borderId="0" xfId="0" applyFont="1" applyFill="1" applyBorder="1" applyAlignment="1" applyProtection="1">
      <alignment horizontal="center" vertical="top"/>
      <protection/>
    </xf>
    <xf numFmtId="0" fontId="0" fillId="0" borderId="0" xfId="0" applyFont="1" applyFill="1" applyBorder="1" applyAlignment="1" applyProtection="1">
      <alignment horizontal="center" vertical="center"/>
      <protection/>
    </xf>
    <xf numFmtId="0" fontId="0" fillId="0" borderId="0" xfId="0" applyFont="1" applyAlignment="1" applyProtection="1">
      <alignment horizontal="center" vertical="center"/>
      <protection/>
    </xf>
    <xf numFmtId="0" fontId="22" fillId="0" borderId="0" xfId="0" applyFont="1" applyFill="1" applyBorder="1" applyAlignment="1" applyProtection="1">
      <alignment horizontal="center" vertical="top"/>
      <protection/>
    </xf>
    <xf numFmtId="0" fontId="70" fillId="0" borderId="0" xfId="0" applyFont="1" applyFill="1" applyBorder="1" applyAlignment="1" applyProtection="1">
      <alignment horizontal="center" vertical="center"/>
      <protection/>
    </xf>
    <xf numFmtId="181" fontId="14" fillId="0" borderId="0" xfId="43" applyNumberFormat="1" applyFont="1" applyFill="1" applyBorder="1" applyAlignment="1" applyProtection="1">
      <alignment horizontal="right" vertical="top" indent="1"/>
      <protection/>
    </xf>
    <xf numFmtId="9" fontId="56" fillId="0" borderId="0" xfId="56" applyNumberFormat="1" applyFont="1" applyFill="1" applyBorder="1" applyAlignment="1" applyProtection="1">
      <alignment vertical="top"/>
      <protection/>
    </xf>
    <xf numFmtId="0" fontId="1" fillId="0" borderId="0" xfId="0" applyFont="1" applyFill="1" applyAlignment="1" applyProtection="1">
      <alignment horizontal="left" vertical="top"/>
      <protection/>
    </xf>
    <xf numFmtId="173" fontId="71" fillId="0" borderId="0" xfId="43" applyNumberFormat="1" applyFont="1" applyFill="1" applyBorder="1" applyAlignment="1" applyProtection="1">
      <alignment horizontal="right" vertical="top" indent="1"/>
      <protection/>
    </xf>
    <xf numFmtId="0" fontId="0" fillId="0" borderId="0" xfId="0" applyFont="1" applyFill="1" applyAlignment="1" applyProtection="1">
      <alignment horizontal="center" vertical="top"/>
      <protection/>
    </xf>
    <xf numFmtId="167" fontId="17" fillId="0" borderId="0" xfId="0" applyNumberFormat="1" applyFont="1" applyAlignment="1" applyProtection="1">
      <alignment horizontal="right" vertical="center"/>
      <protection/>
    </xf>
    <xf numFmtId="0" fontId="14" fillId="44" borderId="0" xfId="0" applyFont="1" applyFill="1" applyBorder="1" applyAlignment="1" applyProtection="1">
      <alignment horizontal="center" wrapText="1"/>
      <protection/>
    </xf>
    <xf numFmtId="0" fontId="54" fillId="0" borderId="0" xfId="0" applyNumberFormat="1" applyFont="1" applyFill="1" applyBorder="1" applyAlignment="1" applyProtection="1">
      <alignment horizontal="left" vertical="center" indent="1"/>
      <protection/>
    </xf>
    <xf numFmtId="0" fontId="1" fillId="0" borderId="0" xfId="0" applyFont="1" applyFill="1" applyBorder="1" applyAlignment="1" applyProtection="1">
      <alignment horizontal="left" vertical="center" indent="1"/>
      <protection/>
    </xf>
    <xf numFmtId="0" fontId="70" fillId="0" borderId="0" xfId="0" applyFont="1" applyAlignment="1" applyProtection="1">
      <alignment horizontal="right" vertical="top"/>
      <protection/>
    </xf>
    <xf numFmtId="0" fontId="14" fillId="44" borderId="0" xfId="0" applyFont="1" applyFill="1" applyBorder="1" applyAlignment="1" applyProtection="1">
      <alignment horizontal="center" vertical="top" wrapText="1"/>
      <protection/>
    </xf>
    <xf numFmtId="0" fontId="56" fillId="38" borderId="0" xfId="0" applyFont="1" applyFill="1" applyBorder="1" applyAlignment="1" applyProtection="1">
      <alignment horizontal="center" vertical="center" wrapText="1"/>
      <protection locked="0"/>
    </xf>
    <xf numFmtId="0" fontId="56" fillId="0" borderId="0" xfId="43" applyNumberFormat="1" applyFont="1" applyFill="1" applyBorder="1" applyAlignment="1" applyProtection="1">
      <alignment horizontal="left" vertical="center" wrapText="1" indent="1"/>
      <protection/>
    </xf>
    <xf numFmtId="0" fontId="31" fillId="0" borderId="0" xfId="0" applyFont="1" applyBorder="1" applyAlignment="1" applyProtection="1">
      <alignment horizontal="right" vertical="center"/>
      <protection/>
    </xf>
    <xf numFmtId="0" fontId="0" fillId="0" borderId="0" xfId="0" applyFont="1" applyFill="1" applyAlignment="1" applyProtection="1">
      <alignment vertical="center"/>
      <protection/>
    </xf>
    <xf numFmtId="0" fontId="72" fillId="0" borderId="0" xfId="0" applyFont="1" applyFill="1" applyBorder="1" applyAlignment="1" applyProtection="1">
      <alignment horizontal="left"/>
      <protection/>
    </xf>
    <xf numFmtId="0" fontId="22" fillId="39" borderId="0" xfId="0" applyFont="1" applyFill="1" applyBorder="1" applyAlignment="1" applyProtection="1">
      <alignment horizontal="center" wrapText="1"/>
      <protection/>
    </xf>
    <xf numFmtId="0" fontId="59" fillId="0" borderId="128" xfId="0" applyFont="1" applyFill="1" applyBorder="1" applyAlignment="1" applyProtection="1">
      <alignment horizontal="center" wrapText="1"/>
      <protection/>
    </xf>
    <xf numFmtId="0" fontId="28" fillId="0" borderId="0" xfId="0" applyFont="1" applyAlignment="1" applyProtection="1">
      <alignment horizontal="right" vertical="center"/>
      <protection/>
    </xf>
    <xf numFmtId="0" fontId="14" fillId="0" borderId="12" xfId="0" applyFont="1" applyBorder="1" applyAlignment="1" applyProtection="1">
      <alignment horizontal="center" vertical="center"/>
      <protection/>
    </xf>
    <xf numFmtId="0" fontId="14" fillId="0" borderId="0" xfId="0" applyFont="1" applyFill="1" applyAlignment="1" applyProtection="1">
      <alignment vertical="center"/>
      <protection/>
    </xf>
    <xf numFmtId="0" fontId="13" fillId="39" borderId="0" xfId="0" applyFont="1" applyFill="1" applyBorder="1" applyAlignment="1" applyProtection="1">
      <alignment horizontal="left" vertical="center"/>
      <protection/>
    </xf>
    <xf numFmtId="181" fontId="13" fillId="39" borderId="0" xfId="43" applyNumberFormat="1" applyFont="1" applyFill="1" applyBorder="1" applyAlignment="1" applyProtection="1">
      <alignment horizontal="right" vertical="center" indent="1"/>
      <protection/>
    </xf>
    <xf numFmtId="0" fontId="72" fillId="0" borderId="0" xfId="0" applyFont="1" applyFill="1" applyBorder="1" applyAlignment="1" applyProtection="1">
      <alignment horizontal="left" vertical="top"/>
      <protection/>
    </xf>
    <xf numFmtId="1" fontId="14" fillId="44" borderId="0" xfId="0" applyNumberFormat="1" applyFont="1" applyFill="1" applyBorder="1" applyAlignment="1" applyProtection="1">
      <alignment horizontal="center" vertical="top" wrapText="1"/>
      <protection/>
    </xf>
    <xf numFmtId="0" fontId="22" fillId="39" borderId="0" xfId="0" applyFont="1" applyFill="1" applyBorder="1" applyAlignment="1" applyProtection="1">
      <alignment horizontal="center" vertical="top" wrapText="1"/>
      <protection/>
    </xf>
    <xf numFmtId="0" fontId="59" fillId="0" borderId="131" xfId="0" applyFont="1" applyFill="1" applyBorder="1" applyAlignment="1" applyProtection="1">
      <alignment horizontal="center" vertical="top" wrapText="1"/>
      <protection/>
    </xf>
    <xf numFmtId="0" fontId="18" fillId="0" borderId="0" xfId="0" applyFont="1" applyFill="1" applyBorder="1" applyAlignment="1" applyProtection="1">
      <alignment horizontal="right" vertical="center" indent="1"/>
      <protection/>
    </xf>
    <xf numFmtId="0" fontId="5" fillId="0" borderId="0" xfId="0" applyFont="1" applyFill="1" applyBorder="1" applyAlignment="1" applyProtection="1">
      <alignment horizontal="right" vertical="center"/>
      <protection/>
    </xf>
    <xf numFmtId="186" fontId="0" fillId="38" borderId="12" xfId="56" applyNumberFormat="1" applyFont="1" applyFill="1" applyBorder="1" applyAlignment="1" applyProtection="1">
      <alignment horizontal="center"/>
      <protection locked="0"/>
    </xf>
    <xf numFmtId="186" fontId="0" fillId="0" borderId="0" xfId="56" applyNumberFormat="1" applyFont="1" applyFill="1" applyBorder="1" applyAlignment="1" applyProtection="1">
      <alignment horizontal="center"/>
      <protection/>
    </xf>
    <xf numFmtId="0" fontId="13" fillId="33" borderId="0" xfId="0" applyFont="1" applyFill="1" applyBorder="1" applyAlignment="1" applyProtection="1">
      <alignment horizontal="left" vertical="center" indent="1"/>
      <protection/>
    </xf>
    <xf numFmtId="184" fontId="13" fillId="33" borderId="0" xfId="0" applyNumberFormat="1" applyFont="1" applyFill="1" applyBorder="1" applyAlignment="1" applyProtection="1">
      <alignment horizontal="right" vertical="center" indent="1"/>
      <protection/>
    </xf>
    <xf numFmtId="9" fontId="13" fillId="33" borderId="167" xfId="56" applyNumberFormat="1" applyFont="1" applyFill="1" applyBorder="1" applyAlignment="1" applyProtection="1">
      <alignment horizontal="right" vertical="center"/>
      <protection/>
    </xf>
    <xf numFmtId="0" fontId="18" fillId="0" borderId="0" xfId="0" applyFont="1" applyBorder="1" applyAlignment="1" applyProtection="1">
      <alignment vertical="center"/>
      <protection/>
    </xf>
    <xf numFmtId="0" fontId="18" fillId="0" borderId="0" xfId="0" applyFont="1" applyBorder="1" applyAlignment="1" applyProtection="1">
      <alignment horizontal="right" vertical="center" indent="1"/>
      <protection/>
    </xf>
    <xf numFmtId="0" fontId="18" fillId="0" borderId="0" xfId="0" applyFont="1" applyAlignment="1" applyProtection="1">
      <alignment horizontal="right" vertical="center"/>
      <protection/>
    </xf>
    <xf numFmtId="181" fontId="72" fillId="52" borderId="0" xfId="43" applyNumberFormat="1" applyFont="1" applyFill="1" applyBorder="1" applyAlignment="1" applyProtection="1">
      <alignment horizontal="right" vertical="center" indent="1"/>
      <protection/>
    </xf>
    <xf numFmtId="9" fontId="24" fillId="0" borderId="0" xfId="56" applyNumberFormat="1" applyFont="1" applyFill="1" applyBorder="1" applyAlignment="1" applyProtection="1">
      <alignment horizontal="right" vertical="center"/>
      <protection/>
    </xf>
    <xf numFmtId="184" fontId="18" fillId="44" borderId="0" xfId="43" applyNumberFormat="1" applyFont="1" applyFill="1" applyBorder="1" applyAlignment="1" applyProtection="1">
      <alignment horizontal="right" vertical="center" indent="1"/>
      <protection/>
    </xf>
    <xf numFmtId="184" fontId="72" fillId="52" borderId="0" xfId="43" applyNumberFormat="1" applyFont="1" applyFill="1" applyBorder="1" applyAlignment="1" applyProtection="1">
      <alignment horizontal="right" vertical="center" indent="1"/>
      <protection/>
    </xf>
    <xf numFmtId="186" fontId="0" fillId="0" borderId="0" xfId="56" applyNumberFormat="1" applyFont="1" applyFill="1" applyBorder="1" applyAlignment="1" applyProtection="1">
      <alignment horizontal="center"/>
      <protection locked="0"/>
    </xf>
    <xf numFmtId="0" fontId="0" fillId="0" borderId="0" xfId="0" applyFont="1" applyBorder="1" applyAlignment="1" applyProtection="1">
      <alignment horizontal="right" vertical="center" indent="1"/>
      <protection/>
    </xf>
    <xf numFmtId="184" fontId="18" fillId="0" borderId="0" xfId="43" applyNumberFormat="1" applyFont="1" applyFill="1" applyBorder="1" applyAlignment="1" applyProtection="1">
      <alignment horizontal="right" vertical="center" indent="1"/>
      <protection/>
    </xf>
    <xf numFmtId="9" fontId="18" fillId="0" borderId="0" xfId="56" applyFont="1" applyFill="1" applyBorder="1" applyAlignment="1" applyProtection="1">
      <alignment horizontal="right" vertical="center"/>
      <protection/>
    </xf>
    <xf numFmtId="0" fontId="24" fillId="0" borderId="158" xfId="0" applyFont="1" applyFill="1" applyBorder="1" applyAlignment="1" applyProtection="1">
      <alignment horizontal="left" vertical="top" indent="1"/>
      <protection/>
    </xf>
    <xf numFmtId="0" fontId="9" fillId="0" borderId="0" xfId="0" applyFont="1" applyAlignment="1" applyProtection="1">
      <alignment/>
      <protection/>
    </xf>
    <xf numFmtId="0" fontId="74" fillId="0" borderId="158" xfId="0" applyFont="1" applyFill="1" applyBorder="1" applyAlignment="1" applyProtection="1">
      <alignment horizontal="left" vertical="top" indent="1"/>
      <protection/>
    </xf>
    <xf numFmtId="0" fontId="11" fillId="0" borderId="158" xfId="0" applyFont="1" applyFill="1" applyBorder="1" applyAlignment="1" applyProtection="1">
      <alignment horizontal="left" indent="1"/>
      <protection/>
    </xf>
    <xf numFmtId="0" fontId="9" fillId="0" borderId="0" xfId="0" applyFont="1" applyBorder="1" applyAlignment="1" applyProtection="1">
      <alignment/>
      <protection/>
    </xf>
    <xf numFmtId="0" fontId="9" fillId="0" borderId="159" xfId="0" applyFont="1" applyBorder="1" applyAlignment="1" applyProtection="1">
      <alignment/>
      <protection/>
    </xf>
    <xf numFmtId="0" fontId="11" fillId="0" borderId="158" xfId="0" applyFont="1" applyFill="1" applyBorder="1" applyAlignment="1" applyProtection="1">
      <alignment horizontal="left" vertical="top" indent="1"/>
      <protection/>
    </xf>
    <xf numFmtId="0" fontId="1" fillId="0" borderId="159" xfId="0" applyFont="1" applyBorder="1" applyAlignment="1" applyProtection="1">
      <alignment vertical="top"/>
      <protection/>
    </xf>
    <xf numFmtId="186" fontId="1" fillId="38" borderId="12" xfId="0" applyNumberFormat="1" applyFont="1" applyFill="1" applyBorder="1" applyAlignment="1" applyProtection="1">
      <alignment vertical="top"/>
      <protection/>
    </xf>
    <xf numFmtId="182" fontId="35" fillId="0" borderId="0" xfId="43" applyNumberFormat="1" applyFont="1" applyFill="1" applyBorder="1" applyAlignment="1" applyProtection="1">
      <alignment horizontal="right" vertical="center" indent="1"/>
      <protection/>
    </xf>
    <xf numFmtId="0" fontId="11" fillId="0" borderId="160" xfId="0" applyFont="1" applyFill="1" applyBorder="1" applyAlignment="1" applyProtection="1">
      <alignment horizontal="left" vertical="top" indent="1"/>
      <protection/>
    </xf>
    <xf numFmtId="0" fontId="15" fillId="40" borderId="0" xfId="0" applyFont="1" applyFill="1" applyBorder="1" applyAlignment="1" applyProtection="1">
      <alignment horizontal="left" vertical="top"/>
      <protection/>
    </xf>
    <xf numFmtId="182" fontId="15" fillId="0" borderId="0" xfId="43" applyNumberFormat="1" applyFont="1" applyFill="1" applyBorder="1" applyAlignment="1" applyProtection="1">
      <alignment horizontal="right" vertical="center" indent="1"/>
      <protection/>
    </xf>
    <xf numFmtId="166" fontId="0" fillId="38" borderId="12" xfId="56" applyNumberFormat="1" applyFont="1" applyFill="1" applyBorder="1" applyAlignment="1" applyProtection="1">
      <alignment horizontal="center"/>
      <protection locked="0"/>
    </xf>
    <xf numFmtId="0" fontId="0" fillId="40" borderId="28" xfId="0" applyFont="1" applyFill="1" applyBorder="1" applyAlignment="1" applyProtection="1">
      <alignment horizontal="left" vertical="center"/>
      <protection/>
    </xf>
    <xf numFmtId="181" fontId="18" fillId="44" borderId="28" xfId="43" applyNumberFormat="1" applyFont="1" applyFill="1" applyBorder="1" applyAlignment="1" applyProtection="1">
      <alignment horizontal="right" vertical="center" indent="1"/>
      <protection/>
    </xf>
    <xf numFmtId="181" fontId="18" fillId="52" borderId="28" xfId="43" applyNumberFormat="1" applyFont="1" applyFill="1" applyBorder="1" applyAlignment="1" applyProtection="1">
      <alignment horizontal="right" vertical="center" indent="1"/>
      <protection/>
    </xf>
    <xf numFmtId="181" fontId="18" fillId="44" borderId="0" xfId="43" applyNumberFormat="1" applyFont="1" applyFill="1" applyBorder="1" applyAlignment="1" applyProtection="1">
      <alignment horizontal="right" indent="1"/>
      <protection/>
    </xf>
    <xf numFmtId="181" fontId="75" fillId="52" borderId="0" xfId="43" applyNumberFormat="1" applyFont="1" applyFill="1" applyBorder="1" applyAlignment="1" applyProtection="1">
      <alignment horizontal="right" indent="1"/>
      <protection/>
    </xf>
    <xf numFmtId="9" fontId="24" fillId="40" borderId="0" xfId="56" applyNumberFormat="1" applyFont="1" applyFill="1" applyBorder="1" applyAlignment="1" applyProtection="1">
      <alignment horizontal="right"/>
      <protection/>
    </xf>
    <xf numFmtId="0" fontId="0" fillId="40" borderId="26" xfId="0" applyFont="1" applyFill="1" applyBorder="1" applyAlignment="1" applyProtection="1">
      <alignment horizontal="right" vertical="center"/>
      <protection/>
    </xf>
    <xf numFmtId="181" fontId="17" fillId="44" borderId="26" xfId="43" applyNumberFormat="1" applyFont="1" applyFill="1" applyBorder="1" applyAlignment="1" applyProtection="1">
      <alignment horizontal="right" vertical="center" indent="1"/>
      <protection/>
    </xf>
    <xf numFmtId="181" fontId="17" fillId="52" borderId="26" xfId="43" applyNumberFormat="1" applyFont="1" applyFill="1" applyBorder="1" applyAlignment="1" applyProtection="1">
      <alignment horizontal="right" vertical="center" indent="1"/>
      <protection/>
    </xf>
    <xf numFmtId="181" fontId="0" fillId="44" borderId="0" xfId="43" applyNumberFormat="1" applyFont="1" applyFill="1" applyBorder="1" applyAlignment="1" applyProtection="1">
      <alignment horizontal="right" vertical="top" indent="1"/>
      <protection/>
    </xf>
    <xf numFmtId="181" fontId="76" fillId="52" borderId="0" xfId="43" applyNumberFormat="1" applyFont="1" applyFill="1" applyBorder="1" applyAlignment="1" applyProtection="1">
      <alignment horizontal="right" vertical="top" indent="1"/>
      <protection/>
    </xf>
    <xf numFmtId="9" fontId="24" fillId="40" borderId="0" xfId="56" applyNumberFormat="1" applyFont="1" applyFill="1" applyBorder="1" applyAlignment="1" applyProtection="1">
      <alignment horizontal="right" vertical="top"/>
      <protection/>
    </xf>
    <xf numFmtId="0" fontId="18" fillId="40" borderId="0" xfId="0" applyFont="1" applyFill="1" applyBorder="1" applyAlignment="1" applyProtection="1">
      <alignment horizontal="left" vertical="top" wrapText="1"/>
      <protection/>
    </xf>
    <xf numFmtId="181" fontId="75" fillId="52" borderId="0" xfId="43" applyNumberFormat="1" applyFont="1" applyFill="1" applyBorder="1" applyAlignment="1" applyProtection="1">
      <alignment horizontal="right" vertical="top" indent="1"/>
      <protection/>
    </xf>
    <xf numFmtId="186" fontId="0" fillId="0" borderId="54" xfId="56" applyNumberFormat="1" applyFont="1" applyFill="1" applyBorder="1" applyAlignment="1" applyProtection="1">
      <alignment horizontal="center"/>
      <protection/>
    </xf>
    <xf numFmtId="0" fontId="0" fillId="40" borderId="43" xfId="0" applyFont="1" applyFill="1" applyBorder="1" applyAlignment="1" applyProtection="1">
      <alignment horizontal="left" vertical="center"/>
      <protection/>
    </xf>
    <xf numFmtId="181" fontId="18" fillId="44" borderId="43" xfId="43" applyNumberFormat="1" applyFont="1" applyFill="1" applyBorder="1" applyAlignment="1" applyProtection="1">
      <alignment horizontal="right" vertical="center" indent="1"/>
      <protection/>
    </xf>
    <xf numFmtId="181" fontId="18" fillId="52" borderId="43" xfId="43" applyNumberFormat="1" applyFont="1" applyFill="1" applyBorder="1" applyAlignment="1" applyProtection="1">
      <alignment horizontal="right" vertical="center" indent="1"/>
      <protection/>
    </xf>
    <xf numFmtId="0" fontId="9" fillId="0" borderId="0" xfId="0" applyFont="1" applyFill="1" applyAlignment="1" applyProtection="1">
      <alignment/>
      <protection/>
    </xf>
    <xf numFmtId="0" fontId="0" fillId="0" borderId="0" xfId="0" applyFont="1" applyFill="1" applyBorder="1" applyAlignment="1" applyProtection="1">
      <alignment horizontal="left" vertical="center"/>
      <protection/>
    </xf>
    <xf numFmtId="181" fontId="0" fillId="0" borderId="0" xfId="0" applyNumberFormat="1" applyFont="1" applyFill="1" applyBorder="1" applyAlignment="1" applyProtection="1">
      <alignment horizontal="center" vertical="center"/>
      <protection/>
    </xf>
    <xf numFmtId="181" fontId="18" fillId="0" borderId="0" xfId="43" applyNumberFormat="1" applyFont="1" applyFill="1" applyBorder="1" applyAlignment="1" applyProtection="1">
      <alignment horizontal="center" vertical="center"/>
      <protection/>
    </xf>
    <xf numFmtId="173" fontId="77" fillId="51" borderId="0" xfId="43" applyNumberFormat="1" applyFont="1" applyFill="1" applyBorder="1" applyAlignment="1" applyProtection="1">
      <alignment horizontal="right" indent="1"/>
      <protection/>
    </xf>
    <xf numFmtId="0" fontId="78" fillId="35" borderId="148" xfId="0" applyFont="1" applyFill="1" applyBorder="1" applyAlignment="1" applyProtection="1">
      <alignment horizontal="left" vertical="top" wrapText="1"/>
      <protection/>
    </xf>
    <xf numFmtId="181" fontId="12" fillId="35" borderId="12" xfId="43" applyNumberFormat="1" applyFont="1" applyFill="1" applyBorder="1" applyAlignment="1" applyProtection="1">
      <alignment horizontal="right" vertical="center" wrapText="1" indent="1"/>
      <protection/>
    </xf>
    <xf numFmtId="9" fontId="24" fillId="40" borderId="0" xfId="56" applyNumberFormat="1" applyFont="1" applyFill="1" applyBorder="1" applyAlignment="1" applyProtection="1">
      <alignment horizontal="center" vertical="center"/>
      <protection/>
    </xf>
    <xf numFmtId="0" fontId="57" fillId="0" borderId="0" xfId="0" applyFont="1" applyFill="1" applyBorder="1" applyAlignment="1" applyProtection="1">
      <alignment horizontal="left" vertical="center"/>
      <protection/>
    </xf>
    <xf numFmtId="173" fontId="77" fillId="0" borderId="0" xfId="43" applyNumberFormat="1" applyFont="1" applyFill="1" applyBorder="1" applyAlignment="1" applyProtection="1">
      <alignment horizontal="right" indent="1"/>
      <protection/>
    </xf>
    <xf numFmtId="0" fontId="79" fillId="0" borderId="0" xfId="0" applyFont="1" applyFill="1" applyBorder="1" applyAlignment="1" applyProtection="1">
      <alignment horizontal="left" vertical="top" wrapText="1"/>
      <protection/>
    </xf>
    <xf numFmtId="181" fontId="12" fillId="0" borderId="0" xfId="43" applyNumberFormat="1" applyFont="1" applyFill="1" applyBorder="1" applyAlignment="1" applyProtection="1">
      <alignment horizontal="right" vertical="center" wrapText="1" indent="1"/>
      <protection/>
    </xf>
    <xf numFmtId="0" fontId="80" fillId="0" borderId="0" xfId="0" applyFont="1" applyBorder="1" applyAlignment="1" applyProtection="1">
      <alignment vertical="center"/>
      <protection/>
    </xf>
    <xf numFmtId="0" fontId="1" fillId="0" borderId="0" xfId="0" applyFont="1" applyAlignment="1" applyProtection="1">
      <alignment/>
      <protection/>
    </xf>
    <xf numFmtId="0" fontId="0" fillId="0" borderId="0" xfId="0" applyFont="1" applyBorder="1" applyAlignment="1" applyProtection="1">
      <alignment horizontal="left" vertical="top" wrapText="1" indent="1"/>
      <protection/>
    </xf>
    <xf numFmtId="183" fontId="18" fillId="0" borderId="0" xfId="43" applyNumberFormat="1" applyFont="1" applyFill="1" applyBorder="1" applyAlignment="1" applyProtection="1">
      <alignment horizontal="center" vertical="center" wrapText="1"/>
      <protection/>
    </xf>
    <xf numFmtId="0" fontId="17" fillId="0" borderId="0" xfId="0" applyFont="1" applyAlignment="1" applyProtection="1">
      <alignment horizontal="right"/>
      <protection/>
    </xf>
    <xf numFmtId="0" fontId="0" fillId="0" borderId="0" xfId="0" applyFont="1" applyFill="1" applyAlignment="1" applyProtection="1">
      <alignment horizontal="left" vertical="top"/>
      <protection/>
    </xf>
    <xf numFmtId="173" fontId="72" fillId="0" borderId="0" xfId="43" applyNumberFormat="1" applyFont="1" applyFill="1" applyBorder="1" applyAlignment="1" applyProtection="1">
      <alignment horizontal="center"/>
      <protection/>
    </xf>
    <xf numFmtId="0" fontId="56" fillId="0" borderId="0" xfId="0" applyFont="1" applyFill="1" applyBorder="1" applyAlignment="1" applyProtection="1">
      <alignment horizontal="left" vertical="top"/>
      <protection/>
    </xf>
    <xf numFmtId="173" fontId="71" fillId="0" borderId="0" xfId="43" applyNumberFormat="1" applyFont="1" applyFill="1" applyBorder="1" applyAlignment="1" applyProtection="1">
      <alignment horizontal="center" vertical="top"/>
      <protection/>
    </xf>
    <xf numFmtId="0" fontId="18" fillId="0" borderId="0" xfId="0" applyFont="1" applyFill="1" applyBorder="1" applyAlignment="1" applyProtection="1">
      <alignment horizontal="left" vertical="top" indent="1"/>
      <protection locked="0"/>
    </xf>
    <xf numFmtId="0" fontId="18" fillId="0" borderId="0" xfId="0" applyFont="1" applyFill="1" applyAlignment="1" applyProtection="1">
      <alignment horizontal="left" vertical="center" indent="1"/>
      <protection locked="0"/>
    </xf>
    <xf numFmtId="0" fontId="0" fillId="59" borderId="0" xfId="0" applyFont="1" applyFill="1" applyAlignment="1" applyProtection="1">
      <alignment vertical="top"/>
      <protection/>
    </xf>
    <xf numFmtId="0" fontId="1" fillId="59" borderId="0" xfId="0" applyFont="1" applyFill="1" applyBorder="1" applyAlignment="1" applyProtection="1">
      <alignment vertical="top"/>
      <protection/>
    </xf>
    <xf numFmtId="0" fontId="18" fillId="59" borderId="0" xfId="0" applyFont="1" applyFill="1" applyAlignment="1" applyProtection="1">
      <alignment horizontal="left" vertical="center" indent="1"/>
      <protection locked="0"/>
    </xf>
    <xf numFmtId="0" fontId="1" fillId="59" borderId="0" xfId="0" applyFont="1" applyFill="1" applyAlignment="1" applyProtection="1">
      <alignment vertical="center"/>
      <protection/>
    </xf>
    <xf numFmtId="0" fontId="18" fillId="59" borderId="0" xfId="0" applyFont="1" applyFill="1" applyBorder="1" applyAlignment="1" applyProtection="1">
      <alignment horizontal="left" vertical="top" indent="1"/>
      <protection locked="0"/>
    </xf>
    <xf numFmtId="0" fontId="0" fillId="0" borderId="0" xfId="0" applyAlignment="1">
      <alignment horizontal="left"/>
    </xf>
    <xf numFmtId="0" fontId="12" fillId="35" borderId="13" xfId="0" applyFont="1" applyFill="1" applyBorder="1" applyAlignment="1">
      <alignment/>
    </xf>
    <xf numFmtId="0" fontId="12" fillId="35" borderId="49" xfId="0" applyFont="1" applyFill="1" applyBorder="1" applyAlignment="1">
      <alignment/>
    </xf>
    <xf numFmtId="0" fontId="0" fillId="35" borderId="168" xfId="0" applyFill="1" applyBorder="1" applyAlignment="1">
      <alignment/>
    </xf>
    <xf numFmtId="0" fontId="0" fillId="35" borderId="169" xfId="0" applyFill="1" applyBorder="1" applyAlignment="1">
      <alignment/>
    </xf>
    <xf numFmtId="0" fontId="21" fillId="35" borderId="145" xfId="0" applyFont="1" applyFill="1" applyBorder="1" applyAlignment="1">
      <alignment horizontal="left"/>
    </xf>
    <xf numFmtId="0" fontId="6" fillId="35" borderId="146" xfId="0" applyFont="1" applyFill="1" applyBorder="1" applyAlignment="1">
      <alignment/>
    </xf>
    <xf numFmtId="0" fontId="6" fillId="35" borderId="147" xfId="0" applyFont="1" applyFill="1" applyBorder="1" applyAlignment="1">
      <alignment/>
    </xf>
    <xf numFmtId="0" fontId="0" fillId="44" borderId="170" xfId="0" applyFill="1" applyBorder="1" applyAlignment="1">
      <alignment/>
    </xf>
    <xf numFmtId="0" fontId="0" fillId="0" borderId="54" xfId="0" applyBorder="1" applyAlignment="1">
      <alignment/>
    </xf>
    <xf numFmtId="0" fontId="0" fillId="0" borderId="171" xfId="0" applyBorder="1" applyAlignment="1">
      <alignment/>
    </xf>
    <xf numFmtId="0" fontId="0" fillId="0" borderId="155" xfId="0" applyBorder="1" applyAlignment="1">
      <alignment horizontal="left"/>
    </xf>
    <xf numFmtId="0" fontId="0" fillId="0" borderId="154" xfId="0" applyBorder="1" applyAlignment="1">
      <alignment/>
    </xf>
    <xf numFmtId="0" fontId="1" fillId="0" borderId="54" xfId="0" applyFont="1" applyBorder="1" applyAlignment="1" applyProtection="1">
      <alignment vertical="center"/>
      <protection/>
    </xf>
    <xf numFmtId="0" fontId="1" fillId="0" borderId="0" xfId="0" applyFont="1" applyBorder="1" applyAlignment="1" applyProtection="1">
      <alignment horizontal="right" vertical="center"/>
      <protection/>
    </xf>
    <xf numFmtId="0" fontId="1" fillId="0" borderId="171" xfId="0" applyFont="1" applyBorder="1" applyAlignment="1" applyProtection="1">
      <alignment horizontal="right" vertical="center"/>
      <protection/>
    </xf>
    <xf numFmtId="184" fontId="1" fillId="0" borderId="0" xfId="0" applyNumberFormat="1" applyFont="1" applyBorder="1" applyAlignment="1" applyProtection="1">
      <alignment vertical="center"/>
      <protection/>
    </xf>
    <xf numFmtId="0" fontId="1" fillId="0" borderId="171" xfId="0" applyFont="1" applyBorder="1" applyAlignment="1" applyProtection="1">
      <alignment vertical="center"/>
      <protection/>
    </xf>
    <xf numFmtId="0" fontId="1" fillId="0" borderId="155" xfId="0" applyFont="1" applyBorder="1" applyAlignment="1" applyProtection="1">
      <alignment horizontal="left" vertical="center"/>
      <protection/>
    </xf>
    <xf numFmtId="166" fontId="4" fillId="0" borderId="155" xfId="0" applyNumberFormat="1" applyFont="1" applyBorder="1" applyAlignment="1" applyProtection="1">
      <alignment horizontal="left" vertical="center"/>
      <protection/>
    </xf>
    <xf numFmtId="181" fontId="4" fillId="0" borderId="0" xfId="0" applyNumberFormat="1" applyFont="1" applyBorder="1" applyAlignment="1" applyProtection="1">
      <alignment vertical="center"/>
      <protection/>
    </xf>
    <xf numFmtId="184" fontId="1" fillId="0" borderId="171" xfId="0" applyNumberFormat="1" applyFont="1" applyBorder="1" applyAlignment="1" applyProtection="1">
      <alignment vertical="center"/>
      <protection/>
    </xf>
    <xf numFmtId="0" fontId="1" fillId="0" borderId="63" xfId="0" applyFont="1" applyBorder="1" applyAlignment="1" applyProtection="1">
      <alignment vertical="center"/>
      <protection/>
    </xf>
    <xf numFmtId="0" fontId="1" fillId="0" borderId="172" xfId="0" applyFont="1" applyBorder="1" applyAlignment="1" applyProtection="1">
      <alignment vertical="center"/>
      <protection/>
    </xf>
    <xf numFmtId="184" fontId="1" fillId="0" borderId="172" xfId="0" applyNumberFormat="1" applyFont="1" applyBorder="1" applyAlignment="1" applyProtection="1">
      <alignment vertical="center"/>
      <protection/>
    </xf>
    <xf numFmtId="184" fontId="1" fillId="0" borderId="173" xfId="0" applyNumberFormat="1" applyFont="1" applyBorder="1" applyAlignment="1" applyProtection="1">
      <alignment vertical="center"/>
      <protection/>
    </xf>
    <xf numFmtId="2" fontId="0" fillId="0" borderId="155" xfId="0" applyNumberFormat="1" applyBorder="1" applyAlignment="1">
      <alignment horizontal="left"/>
    </xf>
    <xf numFmtId="181" fontId="1" fillId="0" borderId="0" xfId="0" applyNumberFormat="1" applyFont="1" applyBorder="1" applyAlignment="1">
      <alignment/>
    </xf>
    <xf numFmtId="2" fontId="0" fillId="0" borderId="174" xfId="0" applyNumberFormat="1" applyBorder="1" applyAlignment="1">
      <alignment horizontal="left"/>
    </xf>
    <xf numFmtId="0" fontId="0" fillId="0" borderId="156" xfId="0" applyBorder="1" applyAlignment="1">
      <alignment/>
    </xf>
    <xf numFmtId="181" fontId="1" fillId="0" borderId="156" xfId="0" applyNumberFormat="1" applyFont="1" applyBorder="1" applyAlignment="1">
      <alignment/>
    </xf>
    <xf numFmtId="0" fontId="0" fillId="0" borderId="157" xfId="0" applyBorder="1" applyAlignment="1">
      <alignment/>
    </xf>
    <xf numFmtId="0" fontId="0" fillId="44" borderId="175" xfId="0" applyFill="1" applyBorder="1" applyAlignment="1">
      <alignment/>
    </xf>
    <xf numFmtId="0" fontId="21" fillId="35" borderId="145" xfId="0" applyFont="1" applyFill="1" applyBorder="1" applyAlignment="1">
      <alignment/>
    </xf>
    <xf numFmtId="0" fontId="21" fillId="35" borderId="49" xfId="0" applyFont="1" applyFill="1" applyBorder="1" applyAlignment="1">
      <alignment horizontal="left"/>
    </xf>
    <xf numFmtId="0" fontId="6" fillId="35" borderId="168" xfId="0" applyFont="1" applyFill="1" applyBorder="1" applyAlignment="1">
      <alignment/>
    </xf>
    <xf numFmtId="0" fontId="6" fillId="35" borderId="169" xfId="0" applyFont="1" applyFill="1" applyBorder="1" applyAlignment="1">
      <alignment/>
    </xf>
    <xf numFmtId="0" fontId="0" fillId="0" borderId="155" xfId="0" applyBorder="1" applyAlignment="1">
      <alignment/>
    </xf>
    <xf numFmtId="0" fontId="0" fillId="0" borderId="54" xfId="0" applyBorder="1" applyAlignment="1">
      <alignment horizontal="left"/>
    </xf>
    <xf numFmtId="0" fontId="1" fillId="0" borderId="155" xfId="0" applyFont="1" applyBorder="1" applyAlignment="1" applyProtection="1">
      <alignment vertical="center"/>
      <protection/>
    </xf>
    <xf numFmtId="0" fontId="1" fillId="0" borderId="155" xfId="0" applyNumberFormat="1" applyFont="1" applyBorder="1" applyAlignment="1" applyProtection="1">
      <alignment vertical="center"/>
      <protection/>
    </xf>
    <xf numFmtId="0" fontId="1" fillId="0" borderId="54" xfId="0" applyFont="1" applyBorder="1" applyAlignment="1" applyProtection="1">
      <alignment horizontal="left" vertical="center"/>
      <protection/>
    </xf>
    <xf numFmtId="166" fontId="4" fillId="0" borderId="54" xfId="0" applyNumberFormat="1" applyFont="1" applyBorder="1" applyAlignment="1" applyProtection="1">
      <alignment horizontal="left" vertical="center"/>
      <protection/>
    </xf>
    <xf numFmtId="0" fontId="0" fillId="0" borderId="174" xfId="0" applyBorder="1" applyAlignment="1">
      <alignment/>
    </xf>
    <xf numFmtId="2" fontId="0" fillId="0" borderId="54" xfId="0" applyNumberFormat="1" applyBorder="1" applyAlignment="1">
      <alignment horizontal="left"/>
    </xf>
    <xf numFmtId="1" fontId="0" fillId="0" borderId="0" xfId="0" applyNumberFormat="1" applyBorder="1" applyAlignment="1">
      <alignment/>
    </xf>
    <xf numFmtId="2" fontId="0" fillId="0" borderId="63" xfId="0" applyNumberFormat="1" applyBorder="1" applyAlignment="1">
      <alignment horizontal="left"/>
    </xf>
    <xf numFmtId="0" fontId="0" fillId="0" borderId="172" xfId="0" applyBorder="1" applyAlignment="1">
      <alignment/>
    </xf>
    <xf numFmtId="1" fontId="0" fillId="0" borderId="172" xfId="0" applyNumberFormat="1" applyBorder="1" applyAlignment="1">
      <alignment/>
    </xf>
    <xf numFmtId="0" fontId="0" fillId="0" borderId="173" xfId="0" applyBorder="1" applyAlignment="1">
      <alignment/>
    </xf>
    <xf numFmtId="0" fontId="12" fillId="35" borderId="155" xfId="0" applyFont="1" applyFill="1" applyBorder="1" applyAlignment="1">
      <alignment/>
    </xf>
    <xf numFmtId="0" fontId="0" fillId="0" borderId="146" xfId="0" applyFont="1" applyFill="1" applyBorder="1" applyAlignment="1">
      <alignment vertical="center"/>
    </xf>
    <xf numFmtId="0" fontId="0" fillId="0" borderId="146" xfId="0" applyFont="1" applyFill="1" applyBorder="1" applyAlignment="1">
      <alignment horizontal="right" vertical="center"/>
    </xf>
    <xf numFmtId="0" fontId="0" fillId="0" borderId="147" xfId="0" applyFont="1" applyFill="1" applyBorder="1" applyAlignment="1">
      <alignment horizontal="right" vertical="center"/>
    </xf>
    <xf numFmtId="0" fontId="0" fillId="0" borderId="155" xfId="0" applyFont="1" applyFill="1" applyBorder="1" applyAlignment="1">
      <alignment vertical="center"/>
    </xf>
    <xf numFmtId="0" fontId="0" fillId="0" borderId="0" xfId="0" applyFont="1" applyFill="1" applyBorder="1" applyAlignment="1">
      <alignment vertical="center"/>
    </xf>
    <xf numFmtId="166" fontId="0" fillId="0" borderId="0" xfId="0" applyNumberFormat="1" applyFont="1" applyFill="1" applyBorder="1" applyAlignment="1">
      <alignment horizontal="right" vertical="center"/>
    </xf>
    <xf numFmtId="172" fontId="0" fillId="0" borderId="0" xfId="43" applyNumberFormat="1" applyFont="1" applyFill="1" applyBorder="1" applyAlignment="1" applyProtection="1">
      <alignment horizontal="right" vertical="center" wrapText="1"/>
      <protection/>
    </xf>
    <xf numFmtId="0" fontId="0" fillId="0" borderId="154" xfId="0" applyFont="1" applyFill="1" applyBorder="1" applyAlignment="1">
      <alignment horizontal="right" vertical="center"/>
    </xf>
    <xf numFmtId="0" fontId="6" fillId="0" borderId="0" xfId="0" applyFont="1" applyAlignment="1">
      <alignment/>
    </xf>
    <xf numFmtId="0" fontId="0" fillId="0" borderId="155" xfId="0" applyFont="1" applyFill="1" applyBorder="1" applyAlignment="1" applyProtection="1">
      <alignment vertical="center" wrapText="1"/>
      <protection/>
    </xf>
    <xf numFmtId="2" fontId="0" fillId="0" borderId="154" xfId="0" applyNumberFormat="1" applyFont="1" applyFill="1" applyBorder="1" applyAlignment="1">
      <alignment horizontal="right" vertical="center"/>
    </xf>
    <xf numFmtId="183" fontId="0" fillId="0" borderId="0" xfId="0" applyNumberFormat="1" applyFont="1" applyFill="1" applyBorder="1" applyAlignment="1" applyProtection="1">
      <alignment horizontal="right" vertical="center" wrapText="1"/>
      <protection/>
    </xf>
    <xf numFmtId="166" fontId="0" fillId="0" borderId="154" xfId="0" applyNumberFormat="1" applyFont="1" applyFill="1" applyBorder="1" applyAlignment="1">
      <alignment horizontal="right" vertical="center"/>
    </xf>
    <xf numFmtId="181" fontId="0" fillId="0" borderId="0" xfId="43" applyNumberFormat="1" applyFont="1" applyFill="1" applyBorder="1" applyAlignment="1" applyProtection="1">
      <alignment horizontal="right" vertical="center" wrapText="1"/>
      <protection/>
    </xf>
    <xf numFmtId="0" fontId="1" fillId="0" borderId="155" xfId="0" applyFont="1" applyFill="1" applyBorder="1" applyAlignment="1" applyProtection="1">
      <alignment vertical="center"/>
      <protection/>
    </xf>
    <xf numFmtId="0" fontId="1" fillId="0" borderId="0" xfId="0" applyFont="1" applyFill="1" applyBorder="1" applyAlignment="1" applyProtection="1">
      <alignment horizontal="left" vertical="center"/>
      <protection/>
    </xf>
    <xf numFmtId="0" fontId="0" fillId="0" borderId="0" xfId="0" applyFont="1" applyFill="1" applyBorder="1" applyAlignment="1">
      <alignment horizontal="right" vertical="center"/>
    </xf>
    <xf numFmtId="0" fontId="0" fillId="0" borderId="174" xfId="0" applyFont="1" applyFill="1" applyBorder="1" applyAlignment="1" applyProtection="1">
      <alignment vertical="center" wrapText="1"/>
      <protection/>
    </xf>
    <xf numFmtId="0" fontId="0" fillId="0" borderId="156" xfId="0" applyFont="1" applyFill="1" applyBorder="1" applyAlignment="1">
      <alignment vertical="center"/>
    </xf>
    <xf numFmtId="181" fontId="1" fillId="0" borderId="156" xfId="0" applyNumberFormat="1" applyFont="1" applyFill="1" applyBorder="1" applyAlignment="1" applyProtection="1">
      <alignment horizontal="right" vertical="center"/>
      <protection locked="0"/>
    </xf>
    <xf numFmtId="181" fontId="1" fillId="0" borderId="157" xfId="0" applyNumberFormat="1" applyFont="1" applyFill="1" applyBorder="1" applyAlignment="1" applyProtection="1">
      <alignment horizontal="right" vertical="center"/>
      <protection locked="0"/>
    </xf>
    <xf numFmtId="1" fontId="0" fillId="0" borderId="0" xfId="0" applyNumberFormat="1" applyAlignment="1">
      <alignment/>
    </xf>
    <xf numFmtId="2" fontId="0" fillId="0" borderId="0" xfId="0" applyNumberFormat="1" applyAlignment="1">
      <alignment/>
    </xf>
    <xf numFmtId="166" fontId="0" fillId="0" borderId="0" xfId="0" applyNumberFormat="1" applyAlignment="1">
      <alignment/>
    </xf>
    <xf numFmtId="0" fontId="81" fillId="35" borderId="49" xfId="0" applyFont="1" applyFill="1" applyBorder="1" applyAlignment="1">
      <alignment/>
    </xf>
    <xf numFmtId="0" fontId="14" fillId="42" borderId="176" xfId="0" applyFont="1" applyFill="1" applyBorder="1" applyAlignment="1" applyProtection="1">
      <alignment horizontal="center" vertical="center"/>
      <protection/>
    </xf>
    <xf numFmtId="0" fontId="14" fillId="42" borderId="177" xfId="0" applyFont="1" applyFill="1" applyBorder="1" applyAlignment="1" applyProtection="1">
      <alignment horizontal="center" vertical="center"/>
      <protection/>
    </xf>
    <xf numFmtId="0" fontId="14" fillId="42" borderId="178" xfId="0" applyFont="1" applyFill="1" applyBorder="1" applyAlignment="1" applyProtection="1">
      <alignment horizontal="center" vertical="center"/>
      <protection/>
    </xf>
    <xf numFmtId="0" fontId="14" fillId="42" borderId="179" xfId="0" applyFont="1" applyFill="1" applyBorder="1" applyAlignment="1" applyProtection="1">
      <alignment horizontal="center" vertical="center"/>
      <protection/>
    </xf>
    <xf numFmtId="0" fontId="14" fillId="60" borderId="178" xfId="0" applyFont="1" applyFill="1" applyBorder="1" applyAlignment="1" applyProtection="1">
      <alignment horizontal="center" vertical="center"/>
      <protection/>
    </xf>
    <xf numFmtId="0" fontId="14" fillId="60" borderId="176" xfId="0" applyFont="1" applyFill="1" applyBorder="1" applyAlignment="1" applyProtection="1">
      <alignment horizontal="center" vertical="center"/>
      <protection/>
    </xf>
    <xf numFmtId="0" fontId="14" fillId="60" borderId="180" xfId="0" applyFont="1" applyFill="1" applyBorder="1" applyAlignment="1" applyProtection="1">
      <alignment horizontal="center" vertical="center"/>
      <protection/>
    </xf>
    <xf numFmtId="0" fontId="14" fillId="60" borderId="181" xfId="0" applyFont="1" applyFill="1" applyBorder="1" applyAlignment="1" applyProtection="1">
      <alignment horizontal="center" vertical="center"/>
      <protection/>
    </xf>
    <xf numFmtId="0" fontId="0" fillId="0" borderId="0" xfId="0" applyAlignment="1">
      <alignment wrapText="1"/>
    </xf>
    <xf numFmtId="0" fontId="0" fillId="0" borderId="12" xfId="0" applyFont="1" applyBorder="1" applyAlignment="1">
      <alignment horizontal="right" wrapText="1"/>
    </xf>
    <xf numFmtId="0" fontId="0" fillId="0" borderId="12" xfId="0" applyBorder="1" applyAlignment="1">
      <alignment wrapText="1"/>
    </xf>
    <xf numFmtId="0" fontId="0" fillId="0" borderId="12" xfId="0" applyFont="1" applyBorder="1" applyAlignment="1">
      <alignment wrapText="1"/>
    </xf>
    <xf numFmtId="0" fontId="0" fillId="0" borderId="12" xfId="0" applyFont="1" applyBorder="1" applyAlignment="1">
      <alignment horizontal="left"/>
    </xf>
    <xf numFmtId="2" fontId="0" fillId="0" borderId="12" xfId="0" applyNumberFormat="1" applyBorder="1" applyAlignment="1">
      <alignment/>
    </xf>
    <xf numFmtId="0" fontId="6" fillId="35" borderId="182" xfId="0" applyFont="1" applyFill="1" applyBorder="1" applyAlignment="1">
      <alignment/>
    </xf>
    <xf numFmtId="0" fontId="1" fillId="0" borderId="183" xfId="0" applyFont="1" applyFill="1" applyBorder="1" applyAlignment="1" applyProtection="1">
      <alignment vertical="center"/>
      <protection/>
    </xf>
    <xf numFmtId="0" fontId="1" fillId="0" borderId="184" xfId="0" applyFont="1" applyFill="1" applyBorder="1" applyAlignment="1" applyProtection="1">
      <alignment vertical="center"/>
      <protection/>
    </xf>
    <xf numFmtId="0" fontId="0" fillId="0" borderId="147" xfId="0" applyBorder="1" applyAlignment="1">
      <alignment/>
    </xf>
    <xf numFmtId="0" fontId="14" fillId="0" borderId="185" xfId="0" applyFont="1" applyBorder="1" applyAlignment="1" applyProtection="1">
      <alignment vertical="top"/>
      <protection/>
    </xf>
    <xf numFmtId="1" fontId="2" fillId="38" borderId="186" xfId="0" applyNumberFormat="1" applyFont="1" applyFill="1" applyBorder="1" applyAlignment="1" applyProtection="1">
      <alignment horizontal="right" vertical="top"/>
      <protection locked="0"/>
    </xf>
    <xf numFmtId="0" fontId="0" fillId="0" borderId="0" xfId="0" applyFont="1" applyAlignment="1">
      <alignment/>
    </xf>
    <xf numFmtId="186" fontId="14" fillId="0" borderId="186" xfId="56" applyNumberFormat="1" applyFont="1" applyFill="1" applyBorder="1" applyAlignment="1" applyProtection="1">
      <alignment horizontal="right" vertical="top"/>
      <protection/>
    </xf>
    <xf numFmtId="0" fontId="0" fillId="0" borderId="0" xfId="0" applyBorder="1" applyAlignment="1">
      <alignment horizontal="center"/>
    </xf>
    <xf numFmtId="9" fontId="0" fillId="0" borderId="0" xfId="56" applyFont="1" applyFill="1" applyBorder="1" applyAlignment="1" applyProtection="1">
      <alignment/>
      <protection/>
    </xf>
    <xf numFmtId="181" fontId="14" fillId="0" borderId="186" xfId="0" applyNumberFormat="1" applyFont="1" applyFill="1" applyBorder="1" applyAlignment="1" applyProtection="1">
      <alignment horizontal="right" vertical="top"/>
      <protection/>
    </xf>
    <xf numFmtId="2" fontId="14" fillId="0" borderId="186" xfId="0" applyNumberFormat="1" applyFont="1" applyFill="1" applyBorder="1" applyAlignment="1" applyProtection="1">
      <alignment horizontal="right" vertical="top"/>
      <protection/>
    </xf>
    <xf numFmtId="0" fontId="14" fillId="0" borderId="187" xfId="0" applyFont="1" applyBorder="1" applyAlignment="1" applyProtection="1">
      <alignment vertical="top"/>
      <protection/>
    </xf>
    <xf numFmtId="181" fontId="14" fillId="0" borderId="188" xfId="0" applyNumberFormat="1" applyFont="1" applyFill="1" applyBorder="1" applyAlignment="1" applyProtection="1">
      <alignment horizontal="right" vertical="top"/>
      <protection/>
    </xf>
    <xf numFmtId="0" fontId="6" fillId="35" borderId="189" xfId="0" applyFont="1" applyFill="1" applyBorder="1" applyAlignment="1">
      <alignment/>
    </xf>
    <xf numFmtId="0" fontId="0" fillId="0" borderId="168" xfId="0" applyBorder="1" applyAlignment="1">
      <alignment/>
    </xf>
    <xf numFmtId="0" fontId="0" fillId="0" borderId="169" xfId="0" applyBorder="1" applyAlignment="1">
      <alignment horizontal="center"/>
    </xf>
    <xf numFmtId="0" fontId="14" fillId="0" borderId="54" xfId="0" applyFont="1" applyFill="1" applyBorder="1" applyAlignment="1" applyProtection="1">
      <alignment horizontal="right" vertical="top"/>
      <protection/>
    </xf>
    <xf numFmtId="0" fontId="0" fillId="0" borderId="171" xfId="0" applyBorder="1" applyAlignment="1">
      <alignment horizontal="center"/>
    </xf>
    <xf numFmtId="0" fontId="0" fillId="0" borderId="54" xfId="0" applyFont="1" applyBorder="1" applyAlignment="1">
      <alignment horizontal="right"/>
    </xf>
    <xf numFmtId="0" fontId="0" fillId="0" borderId="0" xfId="0" applyFont="1" applyAlignment="1">
      <alignment horizontal="right"/>
    </xf>
    <xf numFmtId="0" fontId="0" fillId="0" borderId="63" xfId="0" applyFont="1" applyBorder="1" applyAlignment="1">
      <alignment horizontal="right"/>
    </xf>
    <xf numFmtId="9" fontId="0" fillId="0" borderId="172" xfId="56" applyFont="1" applyFill="1" applyBorder="1" applyAlignment="1" applyProtection="1">
      <alignment/>
      <protection/>
    </xf>
    <xf numFmtId="0" fontId="0" fillId="0" borderId="173" xfId="0" applyBorder="1" applyAlignment="1">
      <alignment horizontal="center"/>
    </xf>
    <xf numFmtId="0" fontId="23" fillId="35" borderId="190" xfId="50" applyNumberFormat="1" applyFont="1" applyFill="1" applyBorder="1" applyAlignment="1" applyProtection="1">
      <alignment horizontal="left" vertical="center"/>
      <protection locked="0"/>
    </xf>
    <xf numFmtId="0" fontId="1" fillId="35" borderId="29" xfId="0" applyFont="1" applyFill="1" applyBorder="1" applyAlignment="1" applyProtection="1">
      <alignment horizontal="left" vertical="top"/>
      <protection locked="0"/>
    </xf>
    <xf numFmtId="0" fontId="82" fillId="0" borderId="0" xfId="0" applyFont="1" applyFill="1" applyBorder="1" applyAlignment="1" applyProtection="1">
      <alignment horizontal="left" vertical="top"/>
      <protection/>
    </xf>
    <xf numFmtId="0" fontId="18" fillId="0" borderId="0" xfId="0" applyFont="1" applyFill="1" applyBorder="1" applyAlignment="1" applyProtection="1">
      <alignment horizontal="right" vertical="top"/>
      <protection locked="0"/>
    </xf>
    <xf numFmtId="0" fontId="0" fillId="0" borderId="0" xfId="0" applyFont="1" applyFill="1" applyBorder="1" applyAlignment="1" applyProtection="1">
      <alignment horizontal="right" vertical="top"/>
      <protection locked="0"/>
    </xf>
    <xf numFmtId="0" fontId="3" fillId="0" borderId="0" xfId="0" applyFont="1" applyBorder="1" applyAlignment="1" applyProtection="1">
      <alignment/>
      <protection/>
    </xf>
    <xf numFmtId="0" fontId="0" fillId="0" borderId="0" xfId="0" applyFont="1" applyFill="1" applyBorder="1" applyAlignment="1" applyProtection="1">
      <alignment horizontal="right" vertical="top"/>
      <protection/>
    </xf>
    <xf numFmtId="0" fontId="82" fillId="0" borderId="0" xfId="0" applyFont="1" applyBorder="1" applyAlignment="1" applyProtection="1">
      <alignment/>
      <protection/>
    </xf>
    <xf numFmtId="0" fontId="17" fillId="0" borderId="0" xfId="0" applyFont="1" applyAlignment="1" applyProtection="1">
      <alignment horizontal="right" wrapText="1"/>
      <protection locked="0"/>
    </xf>
    <xf numFmtId="0" fontId="82" fillId="0" borderId="0" xfId="0" applyFont="1" applyBorder="1" applyAlignment="1" applyProtection="1">
      <alignment vertical="top"/>
      <protection/>
    </xf>
    <xf numFmtId="14" fontId="17" fillId="0" borderId="0" xfId="0" applyNumberFormat="1" applyFont="1" applyAlignment="1" applyProtection="1">
      <alignment horizontal="right" vertical="top" wrapText="1"/>
      <protection locked="0"/>
    </xf>
    <xf numFmtId="14" fontId="0" fillId="0" borderId="0" xfId="0" applyNumberFormat="1" applyFont="1" applyFill="1" applyBorder="1" applyAlignment="1" applyProtection="1">
      <alignment horizontal="right" vertical="top"/>
      <protection locked="0"/>
    </xf>
    <xf numFmtId="0" fontId="24" fillId="0" borderId="0" xfId="0" applyFont="1" applyFill="1" applyBorder="1" applyAlignment="1" applyProtection="1">
      <alignment horizontal="left" vertical="top"/>
      <protection/>
    </xf>
    <xf numFmtId="0" fontId="35" fillId="0" borderId="0" xfId="0" applyFont="1" applyFill="1" applyBorder="1" applyAlignment="1" applyProtection="1">
      <alignment horizontal="left" vertical="top"/>
      <protection/>
    </xf>
    <xf numFmtId="0" fontId="8" fillId="61" borderId="0" xfId="0" applyFont="1" applyFill="1" applyBorder="1" applyAlignment="1" applyProtection="1">
      <alignment horizontal="left" vertical="top" wrapText="1"/>
      <protection/>
    </xf>
    <xf numFmtId="0" fontId="8" fillId="61" borderId="0" xfId="0" applyFont="1" applyFill="1" applyBorder="1" applyAlignment="1" applyProtection="1">
      <alignment horizontal="left" vertical="top"/>
      <protection/>
    </xf>
    <xf numFmtId="0" fontId="8" fillId="61" borderId="0" xfId="0" applyFont="1" applyFill="1" applyBorder="1" applyAlignment="1" applyProtection="1">
      <alignment horizontal="right" vertical="top" wrapText="1"/>
      <protection locked="0"/>
    </xf>
    <xf numFmtId="0" fontId="61" fillId="0" borderId="0" xfId="0" applyFont="1" applyFill="1" applyBorder="1" applyAlignment="1" applyProtection="1">
      <alignment horizontal="right" vertical="top"/>
      <protection locked="0"/>
    </xf>
    <xf numFmtId="0" fontId="21" fillId="40" borderId="43" xfId="0" applyFont="1" applyFill="1" applyBorder="1" applyAlignment="1" applyProtection="1">
      <alignment horizontal="left" vertical="top" wrapText="1"/>
      <protection/>
    </xf>
    <xf numFmtId="0" fontId="18" fillId="40" borderId="43" xfId="0" applyFont="1" applyFill="1" applyBorder="1" applyAlignment="1" applyProtection="1">
      <alignment horizontal="left" vertical="top"/>
      <protection/>
    </xf>
    <xf numFmtId="0" fontId="82" fillId="40" borderId="43" xfId="0" applyFont="1" applyFill="1" applyBorder="1" applyAlignment="1" applyProtection="1">
      <alignment horizontal="left" vertical="top"/>
      <protection/>
    </xf>
    <xf numFmtId="170" fontId="18" fillId="38" borderId="43" xfId="0" applyNumberFormat="1" applyFont="1" applyFill="1" applyBorder="1" applyAlignment="1" applyProtection="1">
      <alignment horizontal="right" vertical="top"/>
      <protection locked="0"/>
    </xf>
    <xf numFmtId="170" fontId="0" fillId="0" borderId="0" xfId="0" applyNumberFormat="1" applyFont="1" applyFill="1" applyBorder="1" applyAlignment="1" applyProtection="1">
      <alignment horizontal="right" vertical="top"/>
      <protection locked="0"/>
    </xf>
    <xf numFmtId="0" fontId="21" fillId="40" borderId="140" xfId="0" applyFont="1" applyFill="1" applyBorder="1" applyAlignment="1" applyProtection="1">
      <alignment horizontal="left" vertical="top" wrapText="1"/>
      <protection/>
    </xf>
    <xf numFmtId="0" fontId="82" fillId="40" borderId="140" xfId="0" applyFont="1" applyFill="1" applyBorder="1" applyAlignment="1" applyProtection="1">
      <alignment horizontal="left" vertical="top"/>
      <protection/>
    </xf>
    <xf numFmtId="0" fontId="0" fillId="38" borderId="140" xfId="0" applyFont="1" applyFill="1" applyBorder="1" applyAlignment="1" applyProtection="1">
      <alignment horizontal="right" vertical="top" wrapText="1"/>
      <protection locked="0"/>
    </xf>
    <xf numFmtId="0" fontId="0" fillId="0" borderId="0" xfId="0" applyFont="1" applyFill="1" applyBorder="1" applyAlignment="1" applyProtection="1">
      <alignment horizontal="right" vertical="top" wrapText="1"/>
      <protection locked="0"/>
    </xf>
    <xf numFmtId="0" fontId="0" fillId="0" borderId="0" xfId="0" applyNumberFormat="1" applyFont="1" applyFill="1" applyBorder="1" applyAlignment="1" applyProtection="1">
      <alignment horizontal="right" vertical="top" wrapText="1"/>
      <protection locked="0"/>
    </xf>
    <xf numFmtId="0" fontId="61" fillId="36" borderId="0" xfId="0" applyFont="1" applyFill="1" applyBorder="1" applyAlignment="1" applyProtection="1">
      <alignment horizontal="left" vertical="top"/>
      <protection/>
    </xf>
    <xf numFmtId="0" fontId="82" fillId="36" borderId="0" xfId="0" applyFont="1" applyFill="1" applyBorder="1" applyAlignment="1" applyProtection="1">
      <alignment horizontal="left" vertical="top"/>
      <protection/>
    </xf>
    <xf numFmtId="0" fontId="9" fillId="36" borderId="0" xfId="0" applyFont="1" applyFill="1" applyBorder="1" applyAlignment="1" applyProtection="1">
      <alignment horizontal="right" vertical="top" wrapText="1"/>
      <protection locked="0"/>
    </xf>
    <xf numFmtId="0" fontId="9" fillId="0" borderId="0" xfId="0" applyFont="1" applyFill="1" applyBorder="1" applyAlignment="1" applyProtection="1">
      <alignment horizontal="right" vertical="top" wrapText="1"/>
      <protection locked="0"/>
    </xf>
    <xf numFmtId="0" fontId="9" fillId="0" borderId="0" xfId="0" applyNumberFormat="1" applyFont="1" applyFill="1" applyBorder="1" applyAlignment="1" applyProtection="1">
      <alignment horizontal="right" vertical="top" wrapText="1"/>
      <protection locked="0"/>
    </xf>
    <xf numFmtId="0" fontId="9" fillId="61" borderId="0" xfId="0" applyNumberFormat="1" applyFont="1" applyFill="1" applyBorder="1" applyAlignment="1" applyProtection="1">
      <alignment horizontal="right" vertical="top" wrapText="1"/>
      <protection locked="0"/>
    </xf>
    <xf numFmtId="0" fontId="18" fillId="38" borderId="43" xfId="0" applyFont="1" applyFill="1" applyBorder="1" applyAlignment="1" applyProtection="1">
      <alignment horizontal="right" vertical="top" wrapText="1"/>
      <protection locked="0"/>
    </xf>
    <xf numFmtId="0" fontId="0" fillId="42" borderId="0" xfId="0" applyNumberFormat="1" applyFont="1" applyFill="1" applyBorder="1" applyAlignment="1" applyProtection="1">
      <alignment horizontal="right" vertical="top" wrapText="1"/>
      <protection locked="0"/>
    </xf>
    <xf numFmtId="0" fontId="21" fillId="40" borderId="166" xfId="0" applyFont="1" applyFill="1" applyBorder="1" applyAlignment="1" applyProtection="1">
      <alignment horizontal="left" vertical="top" wrapText="1"/>
      <protection/>
    </xf>
    <xf numFmtId="0" fontId="82" fillId="40" borderId="166" xfId="0" applyFont="1" applyFill="1" applyBorder="1" applyAlignment="1" applyProtection="1">
      <alignment horizontal="left" vertical="top"/>
      <protection/>
    </xf>
    <xf numFmtId="170" fontId="0" fillId="0" borderId="0" xfId="0" applyNumberFormat="1" applyFont="1" applyFill="1" applyBorder="1" applyAlignment="1" applyProtection="1">
      <alignment horizontal="right" vertical="top" wrapText="1"/>
      <protection locked="0"/>
    </xf>
    <xf numFmtId="0" fontId="18" fillId="38" borderId="166" xfId="0" applyFont="1" applyFill="1" applyBorder="1" applyAlignment="1" applyProtection="1">
      <alignment horizontal="right" vertical="top" wrapText="1"/>
      <protection locked="0"/>
    </xf>
    <xf numFmtId="166" fontId="0" fillId="0" borderId="0" xfId="0" applyNumberFormat="1" applyFont="1" applyFill="1" applyBorder="1" applyAlignment="1" applyProtection="1">
      <alignment horizontal="right" vertical="top"/>
      <protection locked="0"/>
    </xf>
    <xf numFmtId="0" fontId="18" fillId="40" borderId="166" xfId="0" applyFont="1" applyFill="1" applyBorder="1" applyAlignment="1" applyProtection="1">
      <alignment horizontal="left" vertical="top"/>
      <protection/>
    </xf>
    <xf numFmtId="170" fontId="18" fillId="38" borderId="166" xfId="0" applyNumberFormat="1" applyFont="1" applyFill="1" applyBorder="1" applyAlignment="1" applyProtection="1">
      <alignment horizontal="right" vertical="top" wrapText="1"/>
      <protection locked="0"/>
    </xf>
    <xf numFmtId="170" fontId="18" fillId="38" borderId="166" xfId="0" applyNumberFormat="1" applyFont="1" applyFill="1" applyBorder="1" applyAlignment="1" applyProtection="1">
      <alignment horizontal="right" vertical="top"/>
      <protection locked="0"/>
    </xf>
    <xf numFmtId="0" fontId="18" fillId="38" borderId="166" xfId="0" applyNumberFormat="1" applyFont="1" applyFill="1" applyBorder="1" applyAlignment="1" applyProtection="1">
      <alignment horizontal="right" vertical="top"/>
      <protection locked="0"/>
    </xf>
    <xf numFmtId="166" fontId="18" fillId="38" borderId="166" xfId="0" applyNumberFormat="1" applyFont="1" applyFill="1" applyBorder="1" applyAlignment="1" applyProtection="1">
      <alignment horizontal="right" vertical="top"/>
      <protection locked="0"/>
    </xf>
    <xf numFmtId="1" fontId="18" fillId="38" borderId="166" xfId="0" applyNumberFormat="1" applyFont="1" applyFill="1" applyBorder="1" applyAlignment="1" applyProtection="1">
      <alignment horizontal="right" vertical="top"/>
      <protection locked="0"/>
    </xf>
    <xf numFmtId="0" fontId="2" fillId="0" borderId="16" xfId="0" applyFont="1" applyBorder="1" applyAlignment="1" applyProtection="1">
      <alignment horizontal="left" vertical="top"/>
      <protection/>
    </xf>
    <xf numFmtId="0" fontId="21" fillId="0" borderId="0" xfId="0" applyFont="1" applyFill="1" applyBorder="1" applyAlignment="1" applyProtection="1">
      <alignment horizontal="left" vertical="top"/>
      <protection locked="0"/>
    </xf>
    <xf numFmtId="0" fontId="14" fillId="0" borderId="166" xfId="0" applyFont="1" applyBorder="1" applyAlignment="1" applyProtection="1">
      <alignment vertical="top" wrapText="1"/>
      <protection/>
    </xf>
    <xf numFmtId="0" fontId="18" fillId="0" borderId="166" xfId="0" applyFont="1" applyBorder="1" applyAlignment="1" applyProtection="1">
      <alignment vertical="top"/>
      <protection/>
    </xf>
    <xf numFmtId="0" fontId="21" fillId="0" borderId="16" xfId="0" applyFont="1" applyBorder="1" applyAlignment="1" applyProtection="1">
      <alignment horizontal="left" vertical="top"/>
      <protection/>
    </xf>
    <xf numFmtId="0" fontId="18" fillId="0" borderId="166" xfId="0" applyFont="1" applyBorder="1" applyAlignment="1" applyProtection="1">
      <alignment vertical="top" wrapText="1"/>
      <protection/>
    </xf>
    <xf numFmtId="0" fontId="83" fillId="40" borderId="166" xfId="0" applyFont="1" applyFill="1" applyBorder="1" applyAlignment="1" applyProtection="1">
      <alignment horizontal="left" vertical="top"/>
      <protection/>
    </xf>
    <xf numFmtId="0" fontId="21" fillId="0" borderId="18" xfId="0" applyFont="1" applyBorder="1" applyAlignment="1" applyProtection="1">
      <alignment horizontal="left" vertical="top"/>
      <protection/>
    </xf>
    <xf numFmtId="0" fontId="18" fillId="0" borderId="166" xfId="0" applyFont="1" applyBorder="1" applyAlignment="1" applyProtection="1">
      <alignment horizontal="left" vertical="top" wrapText="1"/>
      <protection/>
    </xf>
    <xf numFmtId="0" fontId="14" fillId="0" borderId="166" xfId="0" applyFont="1" applyBorder="1" applyAlignment="1" applyProtection="1">
      <alignment horizontal="left" vertical="top" wrapText="1"/>
      <protection/>
    </xf>
    <xf numFmtId="0" fontId="18" fillId="36" borderId="166" xfId="0" applyFont="1" applyFill="1" applyBorder="1" applyAlignment="1" applyProtection="1">
      <alignment horizontal="left" vertical="top"/>
      <protection/>
    </xf>
    <xf numFmtId="0" fontId="18" fillId="36" borderId="0" xfId="0" applyFont="1" applyFill="1" applyBorder="1" applyAlignment="1" applyProtection="1">
      <alignment horizontal="left" vertical="top"/>
      <protection/>
    </xf>
    <xf numFmtId="0" fontId="82" fillId="36" borderId="166" xfId="0" applyFont="1" applyFill="1" applyBorder="1" applyAlignment="1" applyProtection="1">
      <alignment horizontal="left" vertical="top"/>
      <protection/>
    </xf>
    <xf numFmtId="0" fontId="21" fillId="40" borderId="18" xfId="0" applyFont="1" applyFill="1" applyBorder="1" applyAlignment="1" applyProtection="1">
      <alignment horizontal="left" vertical="top" wrapText="1"/>
      <protection/>
    </xf>
    <xf numFmtId="0" fontId="18" fillId="40" borderId="18" xfId="0" applyFont="1" applyFill="1" applyBorder="1" applyAlignment="1" applyProtection="1">
      <alignment horizontal="left" vertical="top"/>
      <protection/>
    </xf>
    <xf numFmtId="0" fontId="18" fillId="0" borderId="18" xfId="0" applyFont="1" applyBorder="1" applyAlignment="1" applyProtection="1">
      <alignment vertical="top" wrapText="1"/>
      <protection/>
    </xf>
    <xf numFmtId="0" fontId="21" fillId="0" borderId="18" xfId="0" applyFont="1" applyFill="1" applyBorder="1" applyAlignment="1" applyProtection="1">
      <alignment horizontal="left" vertical="top" wrapText="1"/>
      <protection/>
    </xf>
    <xf numFmtId="181" fontId="0" fillId="0" borderId="0" xfId="43" applyNumberFormat="1" applyFont="1" applyFill="1" applyBorder="1" applyAlignment="1" applyProtection="1">
      <alignment horizontal="right" vertical="top"/>
      <protection locked="0"/>
    </xf>
    <xf numFmtId="0" fontId="0" fillId="0" borderId="0" xfId="0" applyNumberFormat="1" applyFont="1" applyFill="1" applyBorder="1" applyAlignment="1" applyProtection="1">
      <alignment horizontal="right" vertical="top"/>
      <protection locked="0"/>
    </xf>
    <xf numFmtId="0" fontId="0" fillId="61" borderId="0" xfId="0" applyNumberFormat="1" applyFont="1" applyFill="1" applyBorder="1" applyAlignment="1" applyProtection="1">
      <alignment horizontal="right" vertical="top"/>
      <protection locked="0"/>
    </xf>
    <xf numFmtId="0" fontId="0" fillId="36" borderId="0" xfId="0" applyNumberFormat="1" applyFont="1" applyFill="1" applyBorder="1" applyAlignment="1" applyProtection="1">
      <alignment horizontal="right" vertical="top"/>
      <protection locked="0"/>
    </xf>
    <xf numFmtId="166" fontId="25" fillId="38" borderId="166" xfId="0" applyNumberFormat="1" applyFont="1" applyFill="1" applyBorder="1" applyAlignment="1" applyProtection="1">
      <alignment horizontal="right" vertical="top"/>
      <protection locked="0"/>
    </xf>
    <xf numFmtId="0" fontId="0" fillId="46" borderId="0" xfId="0" applyNumberFormat="1" applyFont="1" applyFill="1" applyBorder="1" applyAlignment="1" applyProtection="1">
      <alignment horizontal="right" vertical="top"/>
      <protection locked="0"/>
    </xf>
    <xf numFmtId="0" fontId="2" fillId="40" borderId="43" xfId="0" applyFont="1" applyFill="1" applyBorder="1" applyAlignment="1" applyProtection="1">
      <alignment horizontal="left" vertical="top"/>
      <protection/>
    </xf>
    <xf numFmtId="0" fontId="2" fillId="40" borderId="44" xfId="0" applyFont="1" applyFill="1" applyBorder="1" applyAlignment="1" applyProtection="1">
      <alignment horizontal="left" vertical="top"/>
      <protection/>
    </xf>
    <xf numFmtId="0" fontId="2" fillId="0" borderId="44" xfId="0" applyFont="1" applyBorder="1" applyAlignment="1" applyProtection="1">
      <alignment horizontal="left" vertical="top"/>
      <protection/>
    </xf>
    <xf numFmtId="0" fontId="18" fillId="0" borderId="166" xfId="0" applyFont="1" applyFill="1" applyBorder="1" applyAlignment="1" applyProtection="1">
      <alignment horizontal="right" vertical="top"/>
      <protection locked="0"/>
    </xf>
    <xf numFmtId="0" fontId="0" fillId="0" borderId="166" xfId="0" applyFont="1" applyFill="1" applyBorder="1" applyAlignment="1" applyProtection="1">
      <alignment horizontal="right" vertical="top"/>
      <protection locked="0"/>
    </xf>
    <xf numFmtId="181" fontId="18" fillId="38" borderId="166" xfId="43" applyNumberFormat="1" applyFont="1" applyFill="1" applyBorder="1" applyAlignment="1" applyProtection="1">
      <alignment horizontal="right" vertical="top"/>
      <protection locked="0"/>
    </xf>
    <xf numFmtId="0" fontId="18" fillId="0" borderId="166" xfId="0" applyFont="1" applyFill="1" applyBorder="1" applyAlignment="1" applyProtection="1">
      <alignment horizontal="left" vertical="center"/>
      <protection/>
    </xf>
    <xf numFmtId="181" fontId="0" fillId="0" borderId="0" xfId="43" applyNumberFormat="1" applyFont="1" applyFill="1" applyBorder="1" applyAlignment="1" applyProtection="1">
      <alignment horizontal="right" vertical="top" wrapText="1"/>
      <protection locked="0"/>
    </xf>
    <xf numFmtId="172" fontId="0" fillId="0" borderId="0" xfId="0" applyNumberFormat="1" applyFont="1" applyFill="1" applyBorder="1" applyAlignment="1" applyProtection="1">
      <alignment horizontal="right" vertical="top" wrapText="1"/>
      <protection locked="0"/>
    </xf>
    <xf numFmtId="183" fontId="0" fillId="0" borderId="0" xfId="43" applyNumberFormat="1" applyFont="1" applyFill="1" applyBorder="1" applyAlignment="1" applyProtection="1">
      <alignment horizontal="right" vertical="top" wrapText="1"/>
      <protection locked="0"/>
    </xf>
    <xf numFmtId="187" fontId="0" fillId="0" borderId="0" xfId="0" applyNumberFormat="1" applyFont="1" applyFill="1" applyBorder="1" applyAlignment="1" applyProtection="1">
      <alignment horizontal="right" vertical="top"/>
      <protection locked="0"/>
    </xf>
    <xf numFmtId="183" fontId="0" fillId="0" borderId="0" xfId="0" applyNumberFormat="1" applyFont="1" applyFill="1" applyBorder="1" applyAlignment="1" applyProtection="1">
      <alignment horizontal="right" vertical="top"/>
      <protection locked="0"/>
    </xf>
    <xf numFmtId="172" fontId="0" fillId="0" borderId="0" xfId="43" applyNumberFormat="1" applyFont="1" applyFill="1" applyBorder="1" applyAlignment="1" applyProtection="1">
      <alignment horizontal="right" vertical="top" wrapText="1"/>
      <protection locked="0"/>
    </xf>
    <xf numFmtId="181" fontId="0" fillId="0" borderId="0" xfId="0" applyNumberFormat="1" applyFont="1" applyFill="1" applyBorder="1" applyAlignment="1" applyProtection="1">
      <alignment horizontal="right" vertical="top"/>
      <protection locked="0"/>
    </xf>
    <xf numFmtId="181" fontId="18" fillId="38" borderId="166" xfId="43" applyNumberFormat="1" applyFont="1" applyFill="1" applyBorder="1" applyAlignment="1" applyProtection="1">
      <alignment horizontal="right" vertical="top" wrapText="1"/>
      <protection locked="0"/>
    </xf>
    <xf numFmtId="172" fontId="18" fillId="38" borderId="166" xfId="0" applyNumberFormat="1" applyFont="1" applyFill="1" applyBorder="1" applyAlignment="1" applyProtection="1">
      <alignment horizontal="right" vertical="top" wrapText="1"/>
      <protection locked="0"/>
    </xf>
    <xf numFmtId="183" fontId="18" fillId="38" borderId="166" xfId="43" applyNumberFormat="1" applyFont="1" applyFill="1" applyBorder="1" applyAlignment="1" applyProtection="1">
      <alignment horizontal="right" vertical="top" wrapText="1"/>
      <protection locked="0"/>
    </xf>
    <xf numFmtId="187" fontId="18" fillId="38" borderId="166" xfId="0" applyNumberFormat="1" applyFont="1" applyFill="1" applyBorder="1" applyAlignment="1" applyProtection="1">
      <alignment horizontal="right" vertical="top"/>
      <protection locked="0"/>
    </xf>
    <xf numFmtId="172" fontId="18" fillId="38" borderId="166" xfId="43" applyNumberFormat="1" applyFont="1" applyFill="1" applyBorder="1" applyAlignment="1" applyProtection="1">
      <alignment horizontal="right" vertical="top" wrapText="1"/>
      <protection locked="0"/>
    </xf>
    <xf numFmtId="181" fontId="18" fillId="38" borderId="166" xfId="0" applyNumberFormat="1" applyFont="1" applyFill="1" applyBorder="1" applyAlignment="1" applyProtection="1">
      <alignment horizontal="right" vertical="top"/>
      <protection locked="0"/>
    </xf>
    <xf numFmtId="1" fontId="0" fillId="0" borderId="0" xfId="0" applyNumberFormat="1" applyFont="1" applyFill="1" applyBorder="1" applyAlignment="1" applyProtection="1">
      <alignment horizontal="right" vertical="top"/>
      <protection locked="0"/>
    </xf>
    <xf numFmtId="9" fontId="0" fillId="0" borderId="0" xfId="56" applyFont="1" applyFill="1" applyBorder="1" applyAlignment="1" applyProtection="1">
      <alignment horizontal="right" vertical="top"/>
      <protection locked="0"/>
    </xf>
    <xf numFmtId="9" fontId="0" fillId="0" borderId="0" xfId="0" applyNumberFormat="1" applyFont="1" applyFill="1" applyBorder="1" applyAlignment="1" applyProtection="1">
      <alignment horizontal="right" vertical="top"/>
      <protection locked="0"/>
    </xf>
    <xf numFmtId="1" fontId="0" fillId="0" borderId="0" xfId="43" applyNumberFormat="1" applyFont="1" applyFill="1" applyBorder="1" applyAlignment="1" applyProtection="1">
      <alignment horizontal="right" vertical="top"/>
      <protection locked="0"/>
    </xf>
    <xf numFmtId="185" fontId="21" fillId="40" borderId="166" xfId="0" applyNumberFormat="1" applyFont="1" applyFill="1" applyBorder="1" applyAlignment="1" applyProtection="1">
      <alignment horizontal="left" vertical="top" wrapText="1"/>
      <protection/>
    </xf>
    <xf numFmtId="185" fontId="18" fillId="40" borderId="166" xfId="0" applyNumberFormat="1" applyFont="1" applyFill="1" applyBorder="1" applyAlignment="1" applyProtection="1">
      <alignment horizontal="left" vertical="top"/>
      <protection/>
    </xf>
    <xf numFmtId="185" fontId="82" fillId="40" borderId="166" xfId="0" applyNumberFormat="1" applyFont="1" applyFill="1" applyBorder="1" applyAlignment="1" applyProtection="1">
      <alignment horizontal="left" vertical="top"/>
      <protection/>
    </xf>
    <xf numFmtId="9" fontId="18" fillId="38" borderId="166" xfId="56" applyFont="1" applyFill="1" applyBorder="1" applyAlignment="1" applyProtection="1">
      <alignment horizontal="right" vertical="top"/>
      <protection locked="0"/>
    </xf>
    <xf numFmtId="170" fontId="18" fillId="52" borderId="166" xfId="0" applyNumberFormat="1" applyFont="1" applyFill="1" applyBorder="1" applyAlignment="1" applyProtection="1">
      <alignment horizontal="right" vertical="top" wrapText="1"/>
      <protection locked="0"/>
    </xf>
    <xf numFmtId="181" fontId="18" fillId="52" borderId="166" xfId="43" applyNumberFormat="1" applyFont="1" applyFill="1" applyBorder="1" applyAlignment="1" applyProtection="1">
      <alignment horizontal="right" vertical="top"/>
      <protection locked="0"/>
    </xf>
    <xf numFmtId="183" fontId="18" fillId="52" borderId="166" xfId="43" applyNumberFormat="1" applyFont="1" applyFill="1" applyBorder="1" applyAlignment="1" applyProtection="1">
      <alignment horizontal="right" vertical="top" wrapText="1"/>
      <protection locked="0"/>
    </xf>
    <xf numFmtId="187" fontId="18" fillId="52" borderId="166" xfId="0" applyNumberFormat="1" applyFont="1" applyFill="1" applyBorder="1" applyAlignment="1" applyProtection="1">
      <alignment horizontal="right" vertical="top"/>
      <protection locked="0"/>
    </xf>
    <xf numFmtId="1" fontId="0" fillId="0" borderId="0" xfId="43" applyNumberFormat="1" applyFont="1" applyFill="1" applyBorder="1" applyAlignment="1" applyProtection="1">
      <alignment horizontal="right" vertical="top" wrapText="1"/>
      <protection locked="0"/>
    </xf>
    <xf numFmtId="9" fontId="18" fillId="52" borderId="166" xfId="56" applyFont="1" applyFill="1" applyBorder="1" applyAlignment="1" applyProtection="1">
      <alignment horizontal="right" vertical="top"/>
      <protection locked="0"/>
    </xf>
    <xf numFmtId="166" fontId="18" fillId="52" borderId="166" xfId="0" applyNumberFormat="1" applyFont="1" applyFill="1" applyBorder="1" applyAlignment="1" applyProtection="1">
      <alignment horizontal="right" vertical="top"/>
      <protection locked="0"/>
    </xf>
    <xf numFmtId="0" fontId="1" fillId="0" borderId="0" xfId="0" applyFont="1" applyFill="1" applyBorder="1" applyAlignment="1" applyProtection="1">
      <alignment horizontal="right" vertical="top"/>
      <protection locked="0"/>
    </xf>
    <xf numFmtId="0" fontId="14" fillId="0" borderId="0" xfId="0" applyFont="1" applyFill="1" applyBorder="1" applyAlignment="1" applyProtection="1">
      <alignment horizontal="right" vertical="top"/>
      <protection locked="0"/>
    </xf>
    <xf numFmtId="0" fontId="1" fillId="0" borderId="0" xfId="0" applyFont="1" applyFill="1" applyBorder="1" applyAlignment="1" applyProtection="1">
      <alignment vertical="top"/>
      <protection locked="0"/>
    </xf>
    <xf numFmtId="0" fontId="2" fillId="0" borderId="0" xfId="0" applyFont="1" applyBorder="1" applyAlignment="1" applyProtection="1">
      <alignment vertical="top" wrapText="1"/>
      <protection/>
    </xf>
    <xf numFmtId="0" fontId="3" fillId="35" borderId="0" xfId="0" applyFont="1" applyFill="1" applyBorder="1" applyAlignment="1" applyProtection="1">
      <alignment/>
      <protection/>
    </xf>
    <xf numFmtId="0" fontId="1" fillId="35" borderId="0" xfId="0" applyFont="1" applyFill="1" applyBorder="1" applyAlignment="1" applyProtection="1">
      <alignment horizontal="right" vertical="top"/>
      <protection locked="0"/>
    </xf>
    <xf numFmtId="0" fontId="28" fillId="0" borderId="0" xfId="0" applyFont="1" applyFill="1" applyAlignment="1" applyProtection="1">
      <alignment horizontal="right" wrapText="1"/>
      <protection locked="0"/>
    </xf>
    <xf numFmtId="0" fontId="17" fillId="0" borderId="0" xfId="0" applyFont="1" applyFill="1" applyAlignment="1" applyProtection="1">
      <alignment horizontal="right" wrapText="1"/>
      <protection locked="0"/>
    </xf>
    <xf numFmtId="14" fontId="28" fillId="0" borderId="0" xfId="0" applyNumberFormat="1" applyFont="1" applyFill="1" applyAlignment="1" applyProtection="1">
      <alignment horizontal="right" vertical="top" wrapText="1"/>
      <protection locked="0"/>
    </xf>
    <xf numFmtId="14" fontId="17" fillId="0" borderId="0" xfId="0" applyNumberFormat="1" applyFont="1" applyFill="1" applyAlignment="1" applyProtection="1">
      <alignment horizontal="right" vertical="top" wrapText="1"/>
      <protection locked="0"/>
    </xf>
    <xf numFmtId="0" fontId="13" fillId="61" borderId="0" xfId="0" applyFont="1" applyFill="1" applyBorder="1" applyAlignment="1" applyProtection="1">
      <alignment horizontal="left" vertical="top" wrapText="1"/>
      <protection/>
    </xf>
    <xf numFmtId="0" fontId="13" fillId="61" borderId="0" xfId="0" applyFont="1" applyFill="1" applyBorder="1" applyAlignment="1" applyProtection="1">
      <alignment horizontal="center" vertical="top" wrapText="1"/>
      <protection/>
    </xf>
    <xf numFmtId="0" fontId="13" fillId="61" borderId="0" xfId="0" applyFont="1" applyFill="1" applyBorder="1" applyAlignment="1" applyProtection="1">
      <alignment horizontal="center" vertical="top" wrapText="1"/>
      <protection locked="0"/>
    </xf>
    <xf numFmtId="0" fontId="13" fillId="61" borderId="0" xfId="0" applyFont="1" applyFill="1" applyBorder="1" applyAlignment="1" applyProtection="1">
      <alignment horizontal="right" vertical="top" wrapText="1"/>
      <protection locked="0"/>
    </xf>
    <xf numFmtId="170" fontId="13" fillId="61" borderId="0" xfId="0" applyNumberFormat="1" applyFont="1" applyFill="1" applyBorder="1" applyAlignment="1" applyProtection="1">
      <alignment horizontal="right" vertical="top" wrapText="1"/>
      <protection locked="0"/>
    </xf>
    <xf numFmtId="170" fontId="13" fillId="0" borderId="0" xfId="0" applyNumberFormat="1" applyFont="1" applyFill="1" applyBorder="1" applyAlignment="1" applyProtection="1">
      <alignment horizontal="right" vertical="top" wrapText="1"/>
      <protection locked="0"/>
    </xf>
    <xf numFmtId="0" fontId="0" fillId="0" borderId="0" xfId="0" applyFont="1" applyFill="1" applyBorder="1" applyAlignment="1" applyProtection="1">
      <alignment vertical="top" wrapText="1"/>
      <protection locked="0"/>
    </xf>
    <xf numFmtId="0" fontId="0" fillId="59" borderId="0" xfId="0" applyFont="1" applyFill="1" applyBorder="1" applyAlignment="1" applyProtection="1">
      <alignment horizontal="center" vertical="top"/>
      <protection/>
    </xf>
    <xf numFmtId="0" fontId="0" fillId="59" borderId="0" xfId="0" applyFont="1" applyFill="1" applyBorder="1" applyAlignment="1" applyProtection="1">
      <alignment horizontal="center" vertical="top"/>
      <protection locked="0"/>
    </xf>
    <xf numFmtId="0" fontId="0" fillId="59" borderId="0" xfId="0" applyFont="1" applyFill="1" applyBorder="1" applyAlignment="1" applyProtection="1">
      <alignment horizontal="right" vertical="top"/>
      <protection locked="0"/>
    </xf>
    <xf numFmtId="170" fontId="0" fillId="59" borderId="0" xfId="0" applyNumberFormat="1" applyFont="1" applyFill="1" applyBorder="1" applyAlignment="1" applyProtection="1">
      <alignment horizontal="right" vertical="top"/>
      <protection locked="0"/>
    </xf>
    <xf numFmtId="170" fontId="18" fillId="0" borderId="0" xfId="0" applyNumberFormat="1" applyFont="1" applyFill="1" applyBorder="1" applyAlignment="1" applyProtection="1">
      <alignment horizontal="right" vertical="top"/>
      <protection locked="0"/>
    </xf>
    <xf numFmtId="0" fontId="0" fillId="0" borderId="0" xfId="0" applyFont="1" applyFill="1" applyBorder="1" applyAlignment="1" applyProtection="1">
      <alignment vertical="top"/>
      <protection locked="0"/>
    </xf>
    <xf numFmtId="0" fontId="18" fillId="59" borderId="0" xfId="0" applyFont="1" applyFill="1" applyBorder="1" applyAlignment="1" applyProtection="1">
      <alignment horizontal="center" vertical="top" wrapText="1"/>
      <protection/>
    </xf>
    <xf numFmtId="181" fontId="18" fillId="59" borderId="0" xfId="0" applyNumberFormat="1" applyFont="1" applyFill="1" applyBorder="1" applyAlignment="1" applyProtection="1">
      <alignment horizontal="right" vertical="top" wrapText="1"/>
      <protection locked="0"/>
    </xf>
    <xf numFmtId="0" fontId="18" fillId="59" borderId="0" xfId="0" applyFont="1" applyFill="1" applyBorder="1" applyAlignment="1" applyProtection="1">
      <alignment horizontal="right" vertical="top" wrapText="1"/>
      <protection locked="0"/>
    </xf>
    <xf numFmtId="170" fontId="18" fillId="59" borderId="0" xfId="0" applyNumberFormat="1" applyFont="1" applyFill="1" applyBorder="1" applyAlignment="1" applyProtection="1">
      <alignment horizontal="right" vertical="top" wrapText="1"/>
      <protection locked="0"/>
    </xf>
    <xf numFmtId="170" fontId="18" fillId="0" borderId="0" xfId="0" applyNumberFormat="1" applyFont="1" applyFill="1" applyBorder="1" applyAlignment="1" applyProtection="1">
      <alignment horizontal="right" vertical="top" wrapText="1"/>
      <protection locked="0"/>
    </xf>
    <xf numFmtId="0" fontId="13" fillId="61" borderId="0" xfId="0" applyFont="1" applyFill="1" applyBorder="1" applyAlignment="1" applyProtection="1">
      <alignment horizontal="left" vertical="top"/>
      <protection/>
    </xf>
    <xf numFmtId="181" fontId="13" fillId="61" borderId="0" xfId="43" applyNumberFormat="1" applyFont="1" applyFill="1" applyBorder="1" applyAlignment="1" applyProtection="1">
      <alignment vertical="top"/>
      <protection/>
    </xf>
    <xf numFmtId="181" fontId="13" fillId="61" borderId="0" xfId="43" applyNumberFormat="1" applyFont="1" applyFill="1" applyBorder="1" applyAlignment="1" applyProtection="1">
      <alignment vertical="top"/>
      <protection locked="0"/>
    </xf>
    <xf numFmtId="181" fontId="13" fillId="0" borderId="0" xfId="43" applyNumberFormat="1" applyFont="1" applyFill="1" applyBorder="1" applyAlignment="1" applyProtection="1">
      <alignment vertical="top"/>
      <protection locked="0"/>
    </xf>
    <xf numFmtId="181" fontId="13" fillId="0" borderId="0" xfId="43" applyNumberFormat="1" applyFont="1" applyFill="1" applyBorder="1" applyAlignment="1" applyProtection="1">
      <alignment horizontal="center" vertical="top"/>
      <protection locked="0"/>
    </xf>
    <xf numFmtId="0" fontId="13" fillId="0" borderId="0" xfId="0" applyFont="1" applyFill="1" applyBorder="1" applyAlignment="1" applyProtection="1">
      <alignment horizontal="left" vertical="top"/>
      <protection locked="0"/>
    </xf>
    <xf numFmtId="0" fontId="13" fillId="39" borderId="0" xfId="0" applyFont="1" applyFill="1" applyBorder="1" applyAlignment="1" applyProtection="1">
      <alignment horizontal="left" vertical="top"/>
      <protection/>
    </xf>
    <xf numFmtId="181" fontId="13" fillId="39" borderId="0" xfId="43" applyNumberFormat="1" applyFont="1" applyFill="1" applyBorder="1" applyAlignment="1" applyProtection="1">
      <alignment vertical="top"/>
      <protection/>
    </xf>
    <xf numFmtId="181" fontId="13" fillId="39" borderId="0" xfId="43" applyNumberFormat="1" applyFont="1" applyFill="1" applyBorder="1" applyAlignment="1" applyProtection="1">
      <alignment vertical="top"/>
      <protection locked="0"/>
    </xf>
    <xf numFmtId="0" fontId="24" fillId="36" borderId="0" xfId="0" applyFont="1" applyFill="1" applyBorder="1" applyAlignment="1" applyProtection="1">
      <alignment horizontal="left" vertical="top"/>
      <protection/>
    </xf>
    <xf numFmtId="181" fontId="24" fillId="36" borderId="0" xfId="43" applyNumberFormat="1" applyFont="1" applyFill="1" applyBorder="1" applyAlignment="1" applyProtection="1">
      <alignment vertical="top"/>
      <protection/>
    </xf>
    <xf numFmtId="181" fontId="24" fillId="36" borderId="0" xfId="43" applyNumberFormat="1" applyFont="1" applyFill="1" applyBorder="1" applyAlignment="1" applyProtection="1">
      <alignment vertical="top"/>
      <protection locked="0"/>
    </xf>
    <xf numFmtId="0" fontId="24" fillId="0" borderId="0" xfId="0" applyFont="1" applyFill="1" applyBorder="1" applyAlignment="1" applyProtection="1">
      <alignment vertical="top"/>
      <protection locked="0"/>
    </xf>
    <xf numFmtId="181" fontId="0" fillId="59" borderId="0" xfId="0" applyNumberFormat="1" applyFont="1" applyFill="1" applyBorder="1" applyAlignment="1" applyProtection="1">
      <alignment horizontal="right" vertical="top"/>
      <protection/>
    </xf>
    <xf numFmtId="181" fontId="0" fillId="59" borderId="0" xfId="43" applyNumberFormat="1" applyFont="1" applyFill="1" applyBorder="1" applyAlignment="1" applyProtection="1">
      <alignment vertical="top"/>
      <protection/>
    </xf>
    <xf numFmtId="181" fontId="0" fillId="59" borderId="0" xfId="43" applyNumberFormat="1" applyFont="1" applyFill="1" applyBorder="1" applyAlignment="1" applyProtection="1">
      <alignment vertical="top"/>
      <protection locked="0"/>
    </xf>
    <xf numFmtId="0" fontId="35" fillId="0" borderId="0" xfId="0" applyFont="1" applyFill="1" applyBorder="1" applyAlignment="1" applyProtection="1">
      <alignment vertical="top"/>
      <protection locked="0"/>
    </xf>
    <xf numFmtId="181" fontId="5" fillId="36" borderId="0" xfId="43" applyNumberFormat="1" applyFont="1" applyFill="1" applyBorder="1" applyAlignment="1" applyProtection="1">
      <alignment vertical="top"/>
      <protection/>
    </xf>
    <xf numFmtId="181" fontId="0" fillId="36" borderId="0" xfId="43" applyNumberFormat="1" applyFont="1" applyFill="1" applyBorder="1" applyAlignment="1" applyProtection="1">
      <alignment vertical="top"/>
      <protection locked="0"/>
    </xf>
    <xf numFmtId="0" fontId="0" fillId="36" borderId="0" xfId="0" applyFont="1" applyFill="1" applyBorder="1" applyAlignment="1" applyProtection="1">
      <alignment vertical="top"/>
      <protection locked="0"/>
    </xf>
    <xf numFmtId="0" fontId="0" fillId="59" borderId="0" xfId="0" applyFont="1" applyFill="1" applyBorder="1" applyAlignment="1" applyProtection="1">
      <alignment horizontal="left" vertical="top"/>
      <protection/>
    </xf>
    <xf numFmtId="181" fontId="24" fillId="59" borderId="0" xfId="43" applyNumberFormat="1" applyFont="1" applyFill="1" applyBorder="1" applyAlignment="1" applyProtection="1">
      <alignment vertical="top"/>
      <protection/>
    </xf>
    <xf numFmtId="181" fontId="24" fillId="59" borderId="0" xfId="43" applyNumberFormat="1" applyFont="1" applyFill="1" applyBorder="1" applyAlignment="1" applyProtection="1">
      <alignment vertical="top"/>
      <protection locked="0"/>
    </xf>
    <xf numFmtId="0" fontId="35" fillId="59" borderId="0" xfId="0" applyFont="1" applyFill="1" applyBorder="1" applyAlignment="1" applyProtection="1">
      <alignment vertical="top"/>
      <protection locked="0"/>
    </xf>
    <xf numFmtId="181" fontId="0" fillId="59" borderId="0" xfId="0" applyNumberFormat="1" applyFill="1" applyBorder="1" applyAlignment="1" applyProtection="1">
      <alignment horizontal="right" vertical="top"/>
      <protection/>
    </xf>
    <xf numFmtId="181" fontId="0" fillId="59" borderId="0" xfId="0" applyNumberFormat="1" applyFont="1" applyFill="1" applyBorder="1" applyAlignment="1" applyProtection="1">
      <alignment horizontal="right" vertical="top" wrapText="1"/>
      <protection/>
    </xf>
    <xf numFmtId="0" fontId="35" fillId="40" borderId="0" xfId="0" applyFont="1" applyFill="1" applyBorder="1" applyAlignment="1" applyProtection="1">
      <alignment horizontal="left" vertical="top"/>
      <protection/>
    </xf>
    <xf numFmtId="181" fontId="35" fillId="59" borderId="0" xfId="0" applyNumberFormat="1" applyFont="1" applyFill="1" applyBorder="1" applyAlignment="1" applyProtection="1">
      <alignment horizontal="right" vertical="top"/>
      <protection/>
    </xf>
    <xf numFmtId="181" fontId="35" fillId="59" borderId="0" xfId="43" applyNumberFormat="1" applyFont="1" applyFill="1" applyBorder="1" applyAlignment="1" applyProtection="1">
      <alignment vertical="top"/>
      <protection/>
    </xf>
    <xf numFmtId="181" fontId="35" fillId="59" borderId="0" xfId="43" applyNumberFormat="1" applyFont="1" applyFill="1" applyBorder="1" applyAlignment="1" applyProtection="1">
      <alignment vertical="top"/>
      <protection locked="0"/>
    </xf>
    <xf numFmtId="0" fontId="0" fillId="40" borderId="0" xfId="0" applyFont="1" applyFill="1" applyBorder="1" applyAlignment="1" applyProtection="1">
      <alignment horizontal="right" vertical="top"/>
      <protection/>
    </xf>
    <xf numFmtId="173" fontId="13" fillId="61" borderId="0" xfId="43" applyNumberFormat="1" applyFont="1" applyFill="1" applyBorder="1" applyAlignment="1" applyProtection="1">
      <alignment vertical="top"/>
      <protection/>
    </xf>
    <xf numFmtId="173" fontId="13" fillId="61" borderId="0" xfId="43" applyNumberFormat="1" applyFont="1" applyFill="1" applyBorder="1" applyAlignment="1" applyProtection="1">
      <alignment vertical="top"/>
      <protection locked="0"/>
    </xf>
    <xf numFmtId="183" fontId="0" fillId="59" borderId="0" xfId="0" applyNumberFormat="1" applyFont="1" applyFill="1" applyBorder="1" applyAlignment="1" applyProtection="1">
      <alignment horizontal="right" vertical="top"/>
      <protection/>
    </xf>
    <xf numFmtId="183" fontId="0" fillId="59" borderId="0" xfId="0" applyNumberFormat="1" applyFont="1" applyFill="1" applyBorder="1" applyAlignment="1" applyProtection="1">
      <alignment horizontal="right" vertical="top" wrapText="1"/>
      <protection/>
    </xf>
    <xf numFmtId="183" fontId="0" fillId="59" borderId="0" xfId="43" applyNumberFormat="1" applyFont="1" applyFill="1" applyBorder="1" applyAlignment="1" applyProtection="1">
      <alignment horizontal="right" vertical="top" wrapText="1"/>
      <protection/>
    </xf>
    <xf numFmtId="183" fontId="0" fillId="59" borderId="0" xfId="43" applyNumberFormat="1" applyFont="1" applyFill="1" applyBorder="1" applyAlignment="1" applyProtection="1">
      <alignment horizontal="right" vertical="top" wrapText="1"/>
      <protection locked="0"/>
    </xf>
    <xf numFmtId="187" fontId="13" fillId="0" borderId="0" xfId="43" applyNumberFormat="1" applyFont="1" applyFill="1" applyBorder="1" applyAlignment="1" applyProtection="1">
      <alignment vertical="top"/>
      <protection locked="0"/>
    </xf>
    <xf numFmtId="166" fontId="0" fillId="40" borderId="0" xfId="0" applyNumberFormat="1" applyFont="1" applyFill="1" applyBorder="1" applyAlignment="1" applyProtection="1">
      <alignment horizontal="left" vertical="top" wrapText="1"/>
      <protection/>
    </xf>
    <xf numFmtId="187" fontId="0" fillId="59" borderId="0" xfId="0" applyNumberFormat="1" applyFont="1" applyFill="1" applyBorder="1" applyAlignment="1" applyProtection="1">
      <alignment horizontal="right" vertical="top"/>
      <protection/>
    </xf>
    <xf numFmtId="170" fontId="0" fillId="59" borderId="0" xfId="0" applyNumberFormat="1" applyFont="1" applyFill="1" applyBorder="1" applyAlignment="1" applyProtection="1">
      <alignment horizontal="right" vertical="top" wrapText="1"/>
      <protection/>
    </xf>
    <xf numFmtId="166" fontId="0" fillId="59" borderId="0" xfId="47" applyNumberFormat="1" applyFont="1" applyFill="1" applyBorder="1" applyAlignment="1" applyProtection="1">
      <alignment vertical="top"/>
      <protection/>
    </xf>
    <xf numFmtId="166" fontId="0" fillId="59" borderId="0" xfId="47" applyNumberFormat="1" applyFont="1" applyFill="1" applyBorder="1" applyAlignment="1" applyProtection="1">
      <alignment vertical="top"/>
      <protection locked="0"/>
    </xf>
    <xf numFmtId="187" fontId="0" fillId="59" borderId="0" xfId="47" applyNumberFormat="1" applyFont="1" applyFill="1" applyBorder="1" applyAlignment="1" applyProtection="1">
      <alignment vertical="top"/>
      <protection locked="0"/>
    </xf>
    <xf numFmtId="3" fontId="13" fillId="0" borderId="0" xfId="43" applyNumberFormat="1" applyFont="1" applyFill="1" applyBorder="1" applyAlignment="1" applyProtection="1">
      <alignment vertical="top"/>
      <protection locked="0"/>
    </xf>
    <xf numFmtId="166" fontId="0" fillId="0" borderId="0" xfId="0" applyNumberFormat="1" applyFont="1" applyFill="1" applyBorder="1" applyAlignment="1" applyProtection="1">
      <alignment vertical="top"/>
      <protection locked="0"/>
    </xf>
    <xf numFmtId="189" fontId="0" fillId="59" borderId="0" xfId="0" applyNumberFormat="1" applyFill="1" applyBorder="1" applyAlignment="1" applyProtection="1">
      <alignment horizontal="right" vertical="top"/>
      <protection locked="0"/>
    </xf>
    <xf numFmtId="2" fontId="0" fillId="59" borderId="0" xfId="47" applyNumberFormat="1" applyFont="1" applyFill="1" applyBorder="1" applyAlignment="1" applyProtection="1">
      <alignment vertical="top"/>
      <protection locked="0"/>
    </xf>
    <xf numFmtId="166" fontId="13" fillId="39" borderId="0" xfId="0" applyNumberFormat="1" applyFont="1" applyFill="1" applyBorder="1" applyAlignment="1" applyProtection="1">
      <alignment horizontal="left" vertical="top"/>
      <protection/>
    </xf>
    <xf numFmtId="173" fontId="13" fillId="39" borderId="0" xfId="43" applyNumberFormat="1" applyFont="1" applyFill="1" applyBorder="1" applyAlignment="1" applyProtection="1">
      <alignment vertical="top"/>
      <protection/>
    </xf>
    <xf numFmtId="173" fontId="13" fillId="39" borderId="0" xfId="43" applyNumberFormat="1" applyFont="1" applyFill="1" applyBorder="1" applyAlignment="1" applyProtection="1">
      <alignment vertical="top"/>
      <protection locked="0"/>
    </xf>
    <xf numFmtId="181" fontId="0" fillId="59" borderId="0" xfId="0" applyNumberFormat="1" applyFont="1" applyFill="1" applyBorder="1" applyAlignment="1" applyProtection="1">
      <alignment vertical="top"/>
      <protection/>
    </xf>
    <xf numFmtId="181" fontId="0" fillId="59" borderId="0" xfId="0" applyNumberFormat="1" applyFont="1" applyFill="1" applyBorder="1" applyAlignment="1" applyProtection="1">
      <alignment horizontal="right" vertical="top"/>
      <protection locked="0"/>
    </xf>
    <xf numFmtId="185" fontId="0" fillId="40" borderId="0" xfId="0" applyNumberFormat="1" applyFont="1" applyFill="1" applyBorder="1" applyAlignment="1" applyProtection="1">
      <alignment horizontal="left" vertical="top" wrapText="1"/>
      <protection/>
    </xf>
    <xf numFmtId="181" fontId="0" fillId="59" borderId="0" xfId="43" applyNumberFormat="1" applyFont="1" applyFill="1" applyBorder="1" applyAlignment="1" applyProtection="1">
      <alignment horizontal="right" vertical="top"/>
      <protection/>
    </xf>
    <xf numFmtId="181" fontId="0" fillId="59" borderId="0" xfId="43" applyNumberFormat="1" applyFont="1" applyFill="1" applyBorder="1" applyAlignment="1" applyProtection="1">
      <alignment horizontal="right" vertical="top"/>
      <protection locked="0"/>
    </xf>
    <xf numFmtId="9" fontId="0" fillId="59" borderId="0" xfId="0" applyNumberFormat="1" applyFont="1" applyFill="1" applyBorder="1" applyAlignment="1" applyProtection="1">
      <alignment horizontal="right" vertical="top" wrapText="1"/>
      <protection/>
    </xf>
    <xf numFmtId="9" fontId="0" fillId="59" borderId="0" xfId="0" applyNumberFormat="1" applyFont="1" applyFill="1" applyBorder="1" applyAlignment="1" applyProtection="1">
      <alignment horizontal="left" vertical="top" wrapText="1"/>
      <protection/>
    </xf>
    <xf numFmtId="9" fontId="0" fillId="59" borderId="0" xfId="56" applyFont="1" applyFill="1" applyBorder="1" applyAlignment="1" applyProtection="1">
      <alignment horizontal="right" vertical="top"/>
      <protection/>
    </xf>
    <xf numFmtId="9" fontId="0" fillId="59" borderId="0" xfId="56" applyFont="1" applyFill="1" applyBorder="1" applyAlignment="1" applyProtection="1">
      <alignment horizontal="right" vertical="top"/>
      <protection locked="0"/>
    </xf>
    <xf numFmtId="9" fontId="13" fillId="0" borderId="0" xfId="43" applyNumberFormat="1" applyFont="1" applyFill="1" applyBorder="1" applyAlignment="1" applyProtection="1">
      <alignment vertical="top"/>
      <protection locked="0"/>
    </xf>
    <xf numFmtId="181" fontId="0" fillId="59" borderId="0" xfId="0" applyNumberFormat="1" applyFill="1" applyBorder="1" applyAlignment="1" applyProtection="1">
      <alignment horizontal="right" vertical="top" wrapText="1"/>
      <protection/>
    </xf>
    <xf numFmtId="0" fontId="0" fillId="59" borderId="0" xfId="0" applyFont="1" applyFill="1" applyBorder="1" applyAlignment="1" applyProtection="1">
      <alignment horizontal="left" vertical="top" wrapText="1"/>
      <protection/>
    </xf>
    <xf numFmtId="2" fontId="0" fillId="59" borderId="0" xfId="0" applyNumberFormat="1" applyFont="1" applyFill="1" applyBorder="1" applyAlignment="1" applyProtection="1">
      <alignment horizontal="right" vertical="top" wrapText="1"/>
      <protection/>
    </xf>
    <xf numFmtId="2" fontId="0" fillId="59" borderId="0" xfId="0" applyNumberFormat="1" applyFont="1" applyFill="1" applyBorder="1" applyAlignment="1" applyProtection="1">
      <alignment horizontal="right" vertical="top"/>
      <protection/>
    </xf>
    <xf numFmtId="2" fontId="0" fillId="59" borderId="0" xfId="0" applyNumberFormat="1" applyFont="1" applyFill="1" applyBorder="1" applyAlignment="1" applyProtection="1">
      <alignment horizontal="right" vertical="top"/>
      <protection locked="0"/>
    </xf>
    <xf numFmtId="166" fontId="0" fillId="59" borderId="0" xfId="0" applyNumberFormat="1" applyFont="1" applyFill="1" applyBorder="1" applyAlignment="1" applyProtection="1">
      <alignment horizontal="right" vertical="top"/>
      <protection locked="0"/>
    </xf>
    <xf numFmtId="187" fontId="13" fillId="61" borderId="0" xfId="43" applyNumberFormat="1" applyFont="1" applyFill="1" applyBorder="1" applyAlignment="1" applyProtection="1">
      <alignment vertical="top"/>
      <protection locked="0"/>
    </xf>
    <xf numFmtId="183" fontId="0" fillId="59" borderId="0" xfId="0" applyNumberFormat="1" applyFont="1" applyFill="1" applyBorder="1" applyAlignment="1" applyProtection="1">
      <alignment horizontal="right" vertical="top"/>
      <protection locked="0"/>
    </xf>
    <xf numFmtId="166" fontId="0" fillId="59" borderId="0" xfId="0" applyNumberFormat="1" applyFont="1" applyFill="1" applyBorder="1" applyAlignment="1" applyProtection="1">
      <alignment horizontal="right" vertical="top" wrapText="1"/>
      <protection/>
    </xf>
    <xf numFmtId="166" fontId="0" fillId="59" borderId="0" xfId="0" applyNumberFormat="1" applyFont="1" applyFill="1" applyBorder="1" applyAlignment="1" applyProtection="1">
      <alignment horizontal="right" vertical="top"/>
      <protection/>
    </xf>
    <xf numFmtId="187" fontId="0" fillId="59" borderId="0" xfId="0" applyNumberFormat="1" applyFont="1" applyFill="1" applyBorder="1" applyAlignment="1" applyProtection="1">
      <alignment horizontal="right" vertical="top"/>
      <protection locked="0"/>
    </xf>
    <xf numFmtId="3" fontId="13" fillId="61" borderId="0" xfId="43" applyNumberFormat="1" applyFont="1" applyFill="1" applyBorder="1" applyAlignment="1" applyProtection="1">
      <alignment vertical="top"/>
      <protection locked="0"/>
    </xf>
    <xf numFmtId="0" fontId="0" fillId="0" borderId="0" xfId="0" applyAlignment="1">
      <alignment horizontal="center"/>
    </xf>
    <xf numFmtId="0" fontId="2" fillId="0" borderId="0" xfId="0" applyFont="1" applyAlignment="1" applyProtection="1">
      <alignment horizontal="center" vertical="top" wrapText="1"/>
      <protection/>
    </xf>
    <xf numFmtId="0" fontId="3" fillId="0" borderId="0" xfId="0" applyFont="1" applyAlignment="1" applyProtection="1">
      <alignment horizontal="left"/>
      <protection/>
    </xf>
    <xf numFmtId="0" fontId="3" fillId="0" borderId="0" xfId="0" applyFont="1" applyAlignment="1" applyProtection="1">
      <alignment horizontal="center"/>
      <protection/>
    </xf>
    <xf numFmtId="0" fontId="5" fillId="0" borderId="0" xfId="0" applyFont="1" applyAlignment="1" applyProtection="1">
      <alignment horizontal="center"/>
      <protection/>
    </xf>
    <xf numFmtId="0" fontId="17" fillId="0" borderId="0" xfId="0" applyFont="1" applyAlignment="1" applyProtection="1">
      <alignment horizontal="right" wrapText="1"/>
      <protection/>
    </xf>
    <xf numFmtId="14" fontId="17" fillId="0" borderId="0" xfId="0" applyNumberFormat="1" applyFont="1" applyAlignment="1" applyProtection="1">
      <alignment horizontal="right" vertical="top" wrapText="1"/>
      <protection/>
    </xf>
    <xf numFmtId="0" fontId="13" fillId="33" borderId="10" xfId="0" applyFont="1" applyFill="1" applyBorder="1" applyAlignment="1" applyProtection="1">
      <alignment horizontal="left" vertical="center" wrapText="1" indent="1"/>
      <protection/>
    </xf>
    <xf numFmtId="0" fontId="13" fillId="33" borderId="11" xfId="0" applyFont="1" applyFill="1" applyBorder="1" applyAlignment="1" applyProtection="1">
      <alignment horizontal="left" vertical="center" wrapText="1"/>
      <protection/>
    </xf>
    <xf numFmtId="0" fontId="13" fillId="33" borderId="11" xfId="0" applyFont="1" applyFill="1" applyBorder="1" applyAlignment="1" applyProtection="1">
      <alignment horizontal="left" vertical="center"/>
      <protection/>
    </xf>
    <xf numFmtId="0" fontId="0" fillId="0" borderId="0" xfId="0" applyAlignment="1">
      <alignment vertical="center"/>
    </xf>
    <xf numFmtId="0" fontId="0" fillId="0" borderId="0" xfId="0" applyFont="1" applyBorder="1" applyAlignment="1">
      <alignment horizontal="left" vertical="top" indent="1"/>
    </xf>
    <xf numFmtId="0" fontId="32" fillId="0" borderId="0" xfId="0" applyFont="1" applyBorder="1" applyAlignment="1">
      <alignment horizontal="left" vertical="top"/>
    </xf>
    <xf numFmtId="0" fontId="32" fillId="0" borderId="0" xfId="0" applyFont="1" applyBorder="1" applyAlignment="1">
      <alignment horizontal="left" vertical="top" wrapText="1"/>
    </xf>
    <xf numFmtId="0" fontId="60" fillId="0" borderId="0" xfId="0" applyFont="1" applyAlignment="1">
      <alignment vertical="top"/>
    </xf>
    <xf numFmtId="0" fontId="46" fillId="0" borderId="0" xfId="0" applyFont="1" applyBorder="1" applyAlignment="1">
      <alignment horizontal="left" vertical="top" wrapText="1"/>
    </xf>
    <xf numFmtId="0" fontId="0" fillId="0" borderId="0" xfId="0" applyAlignment="1">
      <alignment vertical="top"/>
    </xf>
    <xf numFmtId="0" fontId="18" fillId="62" borderId="0" xfId="0" applyFont="1" applyFill="1" applyBorder="1" applyAlignment="1">
      <alignment horizontal="left" vertical="center" indent="1"/>
    </xf>
    <xf numFmtId="0" fontId="0" fillId="62" borderId="0" xfId="0" applyFont="1" applyFill="1" applyBorder="1" applyAlignment="1">
      <alignment horizontal="left" vertical="center"/>
    </xf>
    <xf numFmtId="2" fontId="0" fillId="62" borderId="0" xfId="0" applyNumberFormat="1" applyFont="1" applyFill="1" applyBorder="1" applyAlignment="1">
      <alignment horizontal="left" vertical="center"/>
    </xf>
    <xf numFmtId="166" fontId="0" fillId="62" borderId="0" xfId="0" applyNumberFormat="1" applyFont="1" applyFill="1" applyBorder="1" applyAlignment="1">
      <alignment horizontal="left" vertical="center"/>
    </xf>
    <xf numFmtId="0" fontId="18" fillId="63" borderId="0" xfId="0" applyFont="1" applyFill="1" applyBorder="1" applyAlignment="1">
      <alignment horizontal="left" vertical="center" indent="1"/>
    </xf>
    <xf numFmtId="166" fontId="0" fillId="63" borderId="0" xfId="0" applyNumberFormat="1" applyFont="1" applyFill="1" applyBorder="1" applyAlignment="1">
      <alignment horizontal="left" vertical="center"/>
    </xf>
    <xf numFmtId="2" fontId="0" fillId="63" borderId="0" xfId="0" applyNumberFormat="1" applyFont="1" applyFill="1" applyBorder="1" applyAlignment="1">
      <alignment horizontal="left" vertical="center"/>
    </xf>
    <xf numFmtId="0" fontId="0" fillId="63" borderId="0" xfId="0" applyFont="1" applyFill="1" applyBorder="1" applyAlignment="1">
      <alignment horizontal="left" vertical="center"/>
    </xf>
    <xf numFmtId="0" fontId="18" fillId="64" borderId="0" xfId="0" applyFont="1" applyFill="1" applyBorder="1" applyAlignment="1">
      <alignment horizontal="left" vertical="center" indent="1"/>
    </xf>
    <xf numFmtId="0" fontId="0" fillId="64" borderId="0" xfId="0" applyFont="1" applyFill="1" applyBorder="1" applyAlignment="1">
      <alignment horizontal="left" vertical="center"/>
    </xf>
    <xf numFmtId="2" fontId="0" fillId="64" borderId="0" xfId="0" applyNumberFormat="1" applyFont="1" applyFill="1" applyBorder="1" applyAlignment="1">
      <alignment horizontal="left" vertical="center"/>
    </xf>
    <xf numFmtId="166" fontId="0" fillId="64" borderId="0" xfId="0" applyNumberFormat="1" applyFont="1" applyFill="1" applyBorder="1" applyAlignment="1">
      <alignment horizontal="left" vertical="center"/>
    </xf>
    <xf numFmtId="0" fontId="18" fillId="43" borderId="0" xfId="0" applyFont="1" applyFill="1" applyBorder="1" applyAlignment="1">
      <alignment horizontal="left" vertical="center" indent="1"/>
    </xf>
    <xf numFmtId="0" fontId="0" fillId="43" borderId="0" xfId="0" applyFont="1" applyFill="1" applyBorder="1" applyAlignment="1">
      <alignment horizontal="left" vertical="center"/>
    </xf>
    <xf numFmtId="2" fontId="0" fillId="43" borderId="0" xfId="0" applyNumberFormat="1" applyFont="1" applyFill="1" applyBorder="1" applyAlignment="1">
      <alignment horizontal="left" vertical="center"/>
    </xf>
    <xf numFmtId="166" fontId="0" fillId="43" borderId="0" xfId="0" applyNumberFormat="1" applyFont="1" applyFill="1" applyBorder="1" applyAlignment="1">
      <alignment horizontal="left" vertical="center"/>
    </xf>
    <xf numFmtId="0" fontId="18" fillId="42" borderId="0" xfId="0" applyFont="1" applyFill="1" applyBorder="1" applyAlignment="1">
      <alignment horizontal="left" vertical="center" indent="1"/>
    </xf>
    <xf numFmtId="0" fontId="0" fillId="42" borderId="0" xfId="0" applyFont="1" applyFill="1" applyBorder="1" applyAlignment="1">
      <alignment horizontal="left" vertical="center"/>
    </xf>
    <xf numFmtId="2" fontId="0" fillId="42" borderId="0" xfId="0" applyNumberFormat="1" applyFont="1" applyFill="1" applyBorder="1" applyAlignment="1">
      <alignment horizontal="left" vertical="center"/>
    </xf>
    <xf numFmtId="166" fontId="0" fillId="42" borderId="0" xfId="0" applyNumberFormat="1" applyFont="1" applyFill="1" applyBorder="1" applyAlignment="1">
      <alignment horizontal="left" vertical="center"/>
    </xf>
    <xf numFmtId="0" fontId="18" fillId="38" borderId="0" xfId="0" applyFont="1" applyFill="1" applyBorder="1" applyAlignment="1">
      <alignment horizontal="left" vertical="center" indent="1"/>
    </xf>
    <xf numFmtId="0" fontId="0" fillId="38" borderId="0" xfId="0" applyFont="1" applyFill="1" applyBorder="1" applyAlignment="1">
      <alignment horizontal="left" vertical="center"/>
    </xf>
    <xf numFmtId="166" fontId="0" fillId="38" borderId="0" xfId="0" applyNumberFormat="1" applyFont="1" applyFill="1" applyBorder="1" applyAlignment="1">
      <alignment horizontal="left" vertical="center"/>
    </xf>
    <xf numFmtId="2" fontId="0" fillId="38" borderId="0" xfId="0" applyNumberFormat="1" applyFont="1" applyFill="1" applyBorder="1" applyAlignment="1">
      <alignment horizontal="left" vertical="center"/>
    </xf>
    <xf numFmtId="0" fontId="18" fillId="52" borderId="0" xfId="0" applyFont="1" applyFill="1" applyBorder="1" applyAlignment="1">
      <alignment horizontal="left" vertical="center" indent="1"/>
    </xf>
    <xf numFmtId="0" fontId="0" fillId="52" borderId="0" xfId="0" applyFont="1" applyFill="1" applyBorder="1" applyAlignment="1">
      <alignment horizontal="left" vertical="center"/>
    </xf>
    <xf numFmtId="166" fontId="0" fillId="52" borderId="0" xfId="0" applyNumberFormat="1" applyFont="1" applyFill="1" applyBorder="1" applyAlignment="1">
      <alignment horizontal="left" vertical="center"/>
    </xf>
    <xf numFmtId="2" fontId="0" fillId="52" borderId="0" xfId="0" applyNumberFormat="1" applyFont="1" applyFill="1" applyBorder="1" applyAlignment="1">
      <alignment horizontal="left" vertical="center"/>
    </xf>
    <xf numFmtId="0" fontId="0" fillId="52" borderId="0" xfId="0" applyFont="1" applyFill="1" applyBorder="1" applyAlignment="1">
      <alignment horizontal="left" vertical="center" indent="1"/>
    </xf>
    <xf numFmtId="0" fontId="18" fillId="37" borderId="0" xfId="0" applyFont="1" applyFill="1" applyBorder="1" applyAlignment="1">
      <alignment horizontal="left" vertical="center" indent="1"/>
    </xf>
    <xf numFmtId="0" fontId="0" fillId="37" borderId="0" xfId="0" applyFont="1" applyFill="1" applyBorder="1" applyAlignment="1">
      <alignment horizontal="left" vertical="center"/>
    </xf>
    <xf numFmtId="2" fontId="0" fillId="37" borderId="0" xfId="0" applyNumberFormat="1" applyFont="1" applyFill="1" applyBorder="1" applyAlignment="1">
      <alignment horizontal="left" vertical="center"/>
    </xf>
    <xf numFmtId="166" fontId="0" fillId="37" borderId="0" xfId="0" applyNumberFormat="1" applyFont="1" applyFill="1" applyBorder="1" applyAlignment="1">
      <alignment horizontal="left" vertical="center"/>
    </xf>
    <xf numFmtId="0" fontId="0" fillId="37" borderId="0" xfId="0" applyFont="1" applyFill="1" applyBorder="1" applyAlignment="1">
      <alignment horizontal="left" vertical="center" indent="1"/>
    </xf>
    <xf numFmtId="0" fontId="0" fillId="0" borderId="0" xfId="0" applyFont="1" applyAlignment="1">
      <alignment horizontal="left" vertical="center"/>
    </xf>
    <xf numFmtId="0" fontId="15" fillId="0" borderId="0" xfId="0" applyFont="1" applyAlignment="1">
      <alignment vertical="center"/>
    </xf>
    <xf numFmtId="0" fontId="67" fillId="0" borderId="0" xfId="0" applyFont="1" applyAlignment="1">
      <alignment vertical="center"/>
    </xf>
    <xf numFmtId="0" fontId="67" fillId="0" borderId="0" xfId="0" applyFont="1" applyAlignment="1">
      <alignment horizontal="center" vertical="center"/>
    </xf>
    <xf numFmtId="0" fontId="32" fillId="0" borderId="0" xfId="0" applyFont="1" applyAlignment="1">
      <alignment vertical="center"/>
    </xf>
    <xf numFmtId="0" fontId="67" fillId="0" borderId="0" xfId="0" applyFont="1" applyAlignment="1">
      <alignment/>
    </xf>
    <xf numFmtId="0" fontId="67" fillId="0" borderId="0" xfId="0" applyFont="1" applyAlignment="1">
      <alignment horizontal="center"/>
    </xf>
    <xf numFmtId="0" fontId="1" fillId="0" borderId="0" xfId="54" applyFont="1" applyAlignment="1">
      <alignment vertical="top"/>
      <protection/>
    </xf>
    <xf numFmtId="0" fontId="14" fillId="0" borderId="0" xfId="54" applyFont="1" applyAlignment="1">
      <alignment vertical="top" wrapText="1"/>
      <protection/>
    </xf>
    <xf numFmtId="0" fontId="84" fillId="0" borderId="0" xfId="54" applyFont="1" applyAlignment="1">
      <alignment vertical="top" wrapText="1"/>
      <protection/>
    </xf>
    <xf numFmtId="0" fontId="1" fillId="0" borderId="0" xfId="54" applyFont="1" applyAlignment="1">
      <alignment horizontal="left" vertical="top" indent="15"/>
      <protection/>
    </xf>
    <xf numFmtId="0" fontId="4" fillId="0" borderId="0" xfId="0" applyFont="1" applyAlignment="1" applyProtection="1">
      <alignment/>
      <protection/>
    </xf>
    <xf numFmtId="0" fontId="18" fillId="0" borderId="0" xfId="0" applyFont="1" applyAlignment="1" applyProtection="1">
      <alignment horizontal="right" wrapText="1"/>
      <protection/>
    </xf>
    <xf numFmtId="0" fontId="18" fillId="0" borderId="0" xfId="0" applyFont="1" applyAlignment="1" applyProtection="1">
      <alignment/>
      <protection/>
    </xf>
    <xf numFmtId="0" fontId="0" fillId="0" borderId="0" xfId="0" applyAlignment="1" applyProtection="1">
      <alignment/>
      <protection/>
    </xf>
    <xf numFmtId="0" fontId="0" fillId="0" borderId="0" xfId="0" applyAlignment="1" applyProtection="1">
      <alignment/>
      <protection/>
    </xf>
    <xf numFmtId="0" fontId="13" fillId="33" borderId="0" xfId="0" applyFont="1" applyFill="1" applyAlignment="1" applyProtection="1">
      <alignment vertical="center"/>
      <protection/>
    </xf>
    <xf numFmtId="0" fontId="18" fillId="0" borderId="0" xfId="0" applyFont="1" applyFill="1" applyAlignment="1" applyProtection="1">
      <alignment vertical="center"/>
      <protection/>
    </xf>
    <xf numFmtId="0" fontId="18" fillId="42" borderId="0" xfId="0" applyFont="1" applyFill="1" applyBorder="1" applyAlignment="1" applyProtection="1">
      <alignment vertical="center" wrapText="1"/>
      <protection/>
    </xf>
    <xf numFmtId="0" fontId="18" fillId="42" borderId="0" xfId="0" applyFont="1" applyFill="1" applyBorder="1" applyAlignment="1" applyProtection="1">
      <alignment vertical="center"/>
      <protection/>
    </xf>
    <xf numFmtId="0" fontId="0" fillId="42" borderId="0" xfId="0" applyFont="1" applyFill="1" applyBorder="1" applyAlignment="1" applyProtection="1">
      <alignment horizontal="left" vertical="center" indent="1"/>
      <protection/>
    </xf>
    <xf numFmtId="0" fontId="0" fillId="0" borderId="0" xfId="0" applyFont="1" applyAlignment="1" applyProtection="1">
      <alignment horizontal="left" vertical="center" indent="15"/>
      <protection/>
    </xf>
    <xf numFmtId="0" fontId="14" fillId="0" borderId="16" xfId="0" applyFont="1" applyBorder="1" applyAlignment="1" applyProtection="1">
      <alignment vertical="top"/>
      <protection/>
    </xf>
    <xf numFmtId="0" fontId="1" fillId="0" borderId="16" xfId="0" applyFont="1" applyBorder="1" applyAlignment="1" applyProtection="1">
      <alignment horizontal="left" vertical="top" wrapText="1" indent="1"/>
      <protection/>
    </xf>
    <xf numFmtId="0" fontId="1" fillId="0" borderId="0" xfId="0" applyFont="1" applyAlignment="1" applyProtection="1">
      <alignment horizontal="left" vertical="top" indent="15"/>
      <protection/>
    </xf>
    <xf numFmtId="0" fontId="1" fillId="0" borderId="18" xfId="0" applyFont="1" applyBorder="1" applyAlignment="1" applyProtection="1">
      <alignment horizontal="left" vertical="top" wrapText="1" indent="1"/>
      <protection/>
    </xf>
    <xf numFmtId="0" fontId="14" fillId="0" borderId="0" xfId="0" applyFont="1" applyAlignment="1" applyProtection="1">
      <alignment vertical="top" wrapText="1"/>
      <protection/>
    </xf>
    <xf numFmtId="0" fontId="18" fillId="44" borderId="0" xfId="0" applyFont="1" applyFill="1" applyBorder="1" applyAlignment="1" applyProtection="1">
      <alignment vertical="center" wrapText="1"/>
      <protection/>
    </xf>
    <xf numFmtId="0" fontId="18" fillId="44" borderId="0" xfId="0" applyFont="1" applyFill="1" applyBorder="1" applyAlignment="1" applyProtection="1">
      <alignment vertical="center"/>
      <protection/>
    </xf>
    <xf numFmtId="0" fontId="0" fillId="44" borderId="0" xfId="0" applyFont="1" applyFill="1" applyBorder="1" applyAlignment="1" applyProtection="1">
      <alignment horizontal="left" vertical="center" indent="1"/>
      <protection/>
    </xf>
    <xf numFmtId="0" fontId="84" fillId="0" borderId="0" xfId="54" applyFont="1" applyAlignment="1">
      <alignment horizontal="left" vertical="top" wrapText="1" indent="1"/>
      <protection/>
    </xf>
    <xf numFmtId="0" fontId="3" fillId="0" borderId="0" xfId="0" applyFont="1" applyAlignment="1" applyProtection="1">
      <alignment vertical="center"/>
      <protection/>
    </xf>
    <xf numFmtId="0" fontId="14" fillId="0" borderId="0" xfId="54" applyFont="1" applyAlignment="1">
      <alignment vertical="center" wrapText="1"/>
      <protection/>
    </xf>
    <xf numFmtId="0" fontId="84" fillId="0" borderId="0" xfId="54" applyFont="1" applyAlignment="1">
      <alignment horizontal="left" vertical="center" wrapText="1" indent="1"/>
      <protection/>
    </xf>
    <xf numFmtId="0" fontId="1" fillId="0" borderId="0" xfId="54" applyFont="1" applyAlignment="1">
      <alignment horizontal="left" vertical="center" indent="15"/>
      <protection/>
    </xf>
    <xf numFmtId="0" fontId="86" fillId="0" borderId="112" xfId="54" applyFont="1" applyBorder="1" applyAlignment="1">
      <alignment horizontal="left" vertical="top" wrapText="1"/>
      <protection/>
    </xf>
    <xf numFmtId="0" fontId="1" fillId="0" borderId="0" xfId="54" applyFont="1" applyAlignment="1">
      <alignment horizontal="left" vertical="top" wrapText="1"/>
      <protection/>
    </xf>
    <xf numFmtId="0" fontId="0" fillId="0" borderId="0" xfId="0" applyAlignment="1">
      <alignment horizontal="right" vertical="center"/>
    </xf>
    <xf numFmtId="0" fontId="0" fillId="0" borderId="0" xfId="0" applyAlignment="1">
      <alignment horizontal="left" vertical="center" indent="1"/>
    </xf>
    <xf numFmtId="0" fontId="1" fillId="0" borderId="16" xfId="0" applyFont="1" applyFill="1" applyBorder="1" applyAlignment="1" applyProtection="1">
      <alignment horizontal="left" vertical="top" wrapText="1" indent="1"/>
      <protection/>
    </xf>
    <xf numFmtId="0" fontId="0" fillId="0" borderId="0" xfId="0" applyAlignment="1" applyProtection="1">
      <alignment horizontal="left" indent="1"/>
      <protection/>
    </xf>
    <xf numFmtId="0" fontId="0" fillId="0" borderId="0" xfId="0" applyAlignment="1" applyProtection="1">
      <alignment horizontal="center"/>
      <protection/>
    </xf>
    <xf numFmtId="0" fontId="0" fillId="0" borderId="0" xfId="0" applyAlignment="1" applyProtection="1">
      <alignment horizontal="center" vertical="top"/>
      <protection/>
    </xf>
    <xf numFmtId="0" fontId="1" fillId="0" borderId="0" xfId="0" applyFont="1" applyAlignment="1" applyProtection="1">
      <alignment horizontal="center"/>
      <protection/>
    </xf>
    <xf numFmtId="0" fontId="7" fillId="0" borderId="0" xfId="0" applyFont="1" applyAlignment="1" applyProtection="1">
      <alignment/>
      <protection/>
    </xf>
    <xf numFmtId="0" fontId="6" fillId="0" borderId="0" xfId="0" applyFont="1" applyAlignment="1" applyProtection="1">
      <alignment horizontal="left"/>
      <protection/>
    </xf>
    <xf numFmtId="0" fontId="0" fillId="0" borderId="0" xfId="0" applyFont="1" applyAlignment="1" applyProtection="1">
      <alignment horizontal="center"/>
      <protection/>
    </xf>
    <xf numFmtId="0" fontId="18" fillId="0" borderId="0" xfId="0" applyFont="1" applyAlignment="1" applyProtection="1">
      <alignment vertical="top"/>
      <protection/>
    </xf>
    <xf numFmtId="0" fontId="0" fillId="0" borderId="0" xfId="0" applyAlignment="1" applyProtection="1">
      <alignment horizontal="left" vertical="top" indent="1"/>
      <protection/>
    </xf>
    <xf numFmtId="0" fontId="13" fillId="33" borderId="24" xfId="0" applyFont="1" applyFill="1" applyBorder="1" applyAlignment="1" applyProtection="1">
      <alignment vertical="center" wrapText="1"/>
      <protection/>
    </xf>
    <xf numFmtId="0" fontId="13" fillId="33" borderId="25" xfId="0" applyFont="1" applyFill="1" applyBorder="1" applyAlignment="1" applyProtection="1">
      <alignment horizontal="left" vertical="center" indent="1"/>
      <protection/>
    </xf>
    <xf numFmtId="0" fontId="13" fillId="33" borderId="25" xfId="0" applyFont="1" applyFill="1" applyBorder="1" applyAlignment="1" applyProtection="1">
      <alignment horizontal="right" vertical="center"/>
      <protection/>
    </xf>
    <xf numFmtId="0" fontId="13" fillId="33" borderId="191" xfId="0" applyFont="1" applyFill="1" applyBorder="1" applyAlignment="1" applyProtection="1">
      <alignment horizontal="right" vertical="center" wrapText="1"/>
      <protection/>
    </xf>
    <xf numFmtId="0" fontId="14" fillId="0" borderId="0" xfId="0" applyFont="1" applyFill="1" applyAlignment="1" applyProtection="1">
      <alignment vertical="top"/>
      <protection/>
    </xf>
    <xf numFmtId="0" fontId="14" fillId="0" borderId="192" xfId="0" applyFont="1" applyBorder="1" applyAlignment="1" applyProtection="1">
      <alignment vertical="top"/>
      <protection/>
    </xf>
    <xf numFmtId="0" fontId="14" fillId="38" borderId="192" xfId="0" applyFont="1" applyFill="1" applyBorder="1" applyAlignment="1" applyProtection="1">
      <alignment horizontal="right" vertical="top"/>
      <protection locked="0"/>
    </xf>
    <xf numFmtId="0" fontId="14" fillId="0" borderId="192" xfId="0" applyFont="1" applyFill="1" applyBorder="1" applyAlignment="1" applyProtection="1">
      <alignment horizontal="right" vertical="top"/>
      <protection/>
    </xf>
    <xf numFmtId="0" fontId="37" fillId="0" borderId="192" xfId="0" applyFont="1" applyBorder="1" applyAlignment="1" applyProtection="1">
      <alignment horizontal="right" vertical="top" wrapText="1"/>
      <protection/>
    </xf>
    <xf numFmtId="14" fontId="14" fillId="38" borderId="18" xfId="0" applyNumberFormat="1" applyFont="1" applyFill="1" applyBorder="1" applyAlignment="1" applyProtection="1">
      <alignment horizontal="right" vertical="top"/>
      <protection locked="0"/>
    </xf>
    <xf numFmtId="14" fontId="14" fillId="0" borderId="18" xfId="0" applyNumberFormat="1" applyFont="1" applyFill="1" applyBorder="1" applyAlignment="1" applyProtection="1">
      <alignment horizontal="right" vertical="top"/>
      <protection/>
    </xf>
    <xf numFmtId="0" fontId="17" fillId="0" borderId="18" xfId="0" applyFont="1" applyBorder="1" applyAlignment="1" applyProtection="1">
      <alignment horizontal="right" vertical="top"/>
      <protection/>
    </xf>
    <xf numFmtId="0" fontId="1" fillId="0" borderId="18" xfId="0" applyFont="1" applyBorder="1" applyAlignment="1" applyProtection="1">
      <alignment horizontal="left" vertical="top" indent="1"/>
      <protection/>
    </xf>
    <xf numFmtId="1" fontId="2" fillId="0" borderId="18" xfId="0" applyNumberFormat="1" applyFont="1" applyFill="1" applyBorder="1" applyAlignment="1" applyProtection="1">
      <alignment horizontal="right" vertical="top"/>
      <protection/>
    </xf>
    <xf numFmtId="186" fontId="14" fillId="0" borderId="18" xfId="56" applyNumberFormat="1" applyFont="1" applyFill="1" applyBorder="1" applyAlignment="1" applyProtection="1">
      <alignment horizontal="right" vertical="top"/>
      <protection/>
    </xf>
    <xf numFmtId="181" fontId="14" fillId="0" borderId="18" xfId="0" applyNumberFormat="1" applyFont="1" applyFill="1" applyBorder="1" applyAlignment="1" applyProtection="1">
      <alignment horizontal="right" vertical="top"/>
      <protection/>
    </xf>
    <xf numFmtId="2" fontId="14" fillId="0" borderId="18" xfId="0" applyNumberFormat="1" applyFont="1" applyFill="1" applyBorder="1" applyAlignment="1" applyProtection="1">
      <alignment horizontal="right" vertical="top"/>
      <protection/>
    </xf>
    <xf numFmtId="0" fontId="14" fillId="0" borderId="18" xfId="0" applyFont="1" applyFill="1" applyBorder="1" applyAlignment="1" applyProtection="1">
      <alignment horizontal="center" vertical="top"/>
      <protection/>
    </xf>
    <xf numFmtId="0" fontId="17" fillId="0" borderId="18" xfId="0" applyFont="1" applyBorder="1" applyAlignment="1" applyProtection="1">
      <alignment horizontal="center" vertical="top"/>
      <protection/>
    </xf>
    <xf numFmtId="0" fontId="87" fillId="0" borderId="0" xfId="0" applyFont="1" applyAlignment="1">
      <alignment/>
    </xf>
    <xf numFmtId="0" fontId="88" fillId="0" borderId="0" xfId="0" applyFont="1" applyAlignment="1">
      <alignment/>
    </xf>
    <xf numFmtId="0" fontId="89" fillId="0" borderId="0" xfId="0" applyFont="1" applyAlignment="1">
      <alignment/>
    </xf>
    <xf numFmtId="0" fontId="90" fillId="0" borderId="193" xfId="0" applyFont="1" applyBorder="1" applyAlignment="1">
      <alignment horizontal="center" vertical="top" wrapText="1"/>
    </xf>
    <xf numFmtId="0" fontId="90" fillId="0" borderId="150" xfId="0" applyFont="1" applyBorder="1" applyAlignment="1">
      <alignment horizontal="center" vertical="top" wrapText="1"/>
    </xf>
    <xf numFmtId="0" fontId="91" fillId="0" borderId="183" xfId="0" applyFont="1" applyBorder="1" applyAlignment="1">
      <alignment vertical="top" wrapText="1"/>
    </xf>
    <xf numFmtId="0" fontId="91" fillId="36" borderId="154" xfId="0" applyFont="1" applyFill="1" applyBorder="1" applyAlignment="1">
      <alignment vertical="top" wrapText="1"/>
    </xf>
    <xf numFmtId="0" fontId="92" fillId="65" borderId="183" xfId="0" applyFont="1" applyFill="1" applyBorder="1" applyAlignment="1">
      <alignment vertical="top" wrapText="1"/>
    </xf>
    <xf numFmtId="0" fontId="92" fillId="36" borderId="154" xfId="0" applyFont="1" applyFill="1" applyBorder="1" applyAlignment="1">
      <alignment horizontal="left" vertical="top" wrapText="1"/>
    </xf>
    <xf numFmtId="0" fontId="92" fillId="0" borderId="183" xfId="0" applyFont="1" applyBorder="1" applyAlignment="1">
      <alignment vertical="top" wrapText="1"/>
    </xf>
    <xf numFmtId="0" fontId="92" fillId="36" borderId="154" xfId="0" applyFont="1" applyFill="1" applyBorder="1" applyAlignment="1">
      <alignment vertical="top" wrapText="1"/>
    </xf>
    <xf numFmtId="0" fontId="92" fillId="0" borderId="183" xfId="0" applyFont="1" applyBorder="1" applyAlignment="1">
      <alignment horizontal="left" vertical="top" wrapText="1"/>
    </xf>
    <xf numFmtId="0" fontId="91" fillId="38" borderId="183" xfId="0" applyFont="1" applyFill="1" applyBorder="1" applyAlignment="1">
      <alignment vertical="top" wrapText="1"/>
    </xf>
    <xf numFmtId="0" fontId="92" fillId="38" borderId="183" xfId="0" applyFont="1" applyFill="1" applyBorder="1" applyAlignment="1">
      <alignment vertical="top" wrapText="1"/>
    </xf>
    <xf numFmtId="0" fontId="94" fillId="0" borderId="154" xfId="0" applyFont="1" applyBorder="1" applyAlignment="1">
      <alignment vertical="top" wrapText="1"/>
    </xf>
    <xf numFmtId="0" fontId="91" fillId="43" borderId="154" xfId="0" applyFont="1" applyFill="1" applyBorder="1" applyAlignment="1">
      <alignment vertical="top" wrapText="1"/>
    </xf>
    <xf numFmtId="0" fontId="92" fillId="43" borderId="154" xfId="0" applyFont="1" applyFill="1" applyBorder="1" applyAlignment="1">
      <alignment vertical="top" wrapText="1"/>
    </xf>
    <xf numFmtId="0" fontId="92" fillId="43" borderId="154" xfId="0" applyFont="1" applyFill="1" applyBorder="1" applyAlignment="1">
      <alignment horizontal="left" vertical="top" wrapText="1"/>
    </xf>
    <xf numFmtId="0" fontId="92" fillId="0" borderId="184" xfId="0" applyFont="1" applyBorder="1" applyAlignment="1">
      <alignment vertical="top" wrapText="1"/>
    </xf>
    <xf numFmtId="0" fontId="92" fillId="43" borderId="157" xfId="0" applyFont="1" applyFill="1" applyBorder="1" applyAlignment="1">
      <alignment vertical="top" wrapText="1"/>
    </xf>
    <xf numFmtId="3" fontId="1" fillId="35" borderId="30" xfId="0" applyNumberFormat="1" applyFont="1" applyFill="1" applyBorder="1" applyAlignment="1" applyProtection="1">
      <alignment horizontal="left" vertical="top"/>
      <protection locked="0"/>
    </xf>
    <xf numFmtId="3" fontId="1" fillId="35" borderId="32" xfId="0" applyNumberFormat="1" applyFont="1" applyFill="1" applyBorder="1" applyAlignment="1" applyProtection="1">
      <alignment horizontal="left" vertical="top"/>
      <protection locked="0"/>
    </xf>
    <xf numFmtId="0" fontId="7" fillId="0" borderId="0" xfId="0" applyFont="1" applyBorder="1" applyAlignment="1" applyProtection="1">
      <alignment horizontal="left" vertical="top" wrapText="1"/>
      <protection/>
    </xf>
    <xf numFmtId="0" fontId="17" fillId="0" borderId="32" xfId="0" applyFont="1" applyBorder="1" applyAlignment="1" applyProtection="1">
      <alignment horizontal="left" vertical="top" wrapText="1"/>
      <protection/>
    </xf>
    <xf numFmtId="0" fontId="2" fillId="0" borderId="12" xfId="0" applyFont="1" applyFill="1" applyBorder="1" applyAlignment="1" applyProtection="1">
      <alignment horizontal="center" vertical="center"/>
      <protection/>
    </xf>
    <xf numFmtId="173" fontId="1" fillId="0" borderId="45" xfId="43" applyNumberFormat="1" applyFont="1" applyFill="1" applyBorder="1" applyAlignment="1" applyProtection="1">
      <alignment horizontal="center" vertical="center" wrapText="1"/>
      <protection/>
    </xf>
    <xf numFmtId="0" fontId="14" fillId="35" borderId="0" xfId="0" applyFont="1" applyFill="1" applyBorder="1" applyAlignment="1" applyProtection="1">
      <alignment horizontal="center" vertical="center" wrapText="1"/>
      <protection/>
    </xf>
    <xf numFmtId="0" fontId="14" fillId="36"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2" fillId="0" borderId="194" xfId="0" applyFont="1" applyFill="1" applyBorder="1" applyAlignment="1" applyProtection="1">
      <alignment horizontal="center" vertical="center"/>
      <protection/>
    </xf>
    <xf numFmtId="173" fontId="14" fillId="36" borderId="107" xfId="43" applyNumberFormat="1" applyFont="1" applyFill="1" applyBorder="1" applyAlignment="1" applyProtection="1">
      <alignment horizontal="center" vertical="center" wrapText="1"/>
      <protection/>
    </xf>
    <xf numFmtId="173" fontId="36" fillId="0" borderId="45" xfId="43" applyNumberFormat="1" applyFont="1" applyFill="1" applyBorder="1" applyAlignment="1" applyProtection="1">
      <alignment horizontal="center" vertical="center" wrapText="1"/>
      <protection/>
    </xf>
    <xf numFmtId="173" fontId="31" fillId="0" borderId="47" xfId="43" applyNumberFormat="1" applyFont="1" applyFill="1" applyBorder="1" applyAlignment="1" applyProtection="1">
      <alignment horizontal="center" vertical="center" wrapText="1"/>
      <protection/>
    </xf>
    <xf numFmtId="173" fontId="14" fillId="0" borderId="45" xfId="43" applyNumberFormat="1" applyFont="1" applyFill="1" applyBorder="1" applyAlignment="1" applyProtection="1">
      <alignment horizontal="center" vertical="center" wrapText="1"/>
      <protection/>
    </xf>
    <xf numFmtId="173" fontId="1" fillId="0" borderId="48" xfId="43" applyNumberFormat="1" applyFont="1" applyFill="1" applyBorder="1" applyAlignment="1" applyProtection="1">
      <alignment horizontal="center" vertical="center" wrapText="1"/>
      <protection/>
    </xf>
    <xf numFmtId="167" fontId="1" fillId="0" borderId="0" xfId="0" applyNumberFormat="1" applyFont="1" applyBorder="1" applyAlignment="1" applyProtection="1">
      <alignment horizontal="right" wrapText="1"/>
      <protection/>
    </xf>
    <xf numFmtId="14" fontId="1" fillId="0" borderId="0" xfId="0" applyNumberFormat="1" applyFont="1" applyBorder="1" applyAlignment="1" applyProtection="1">
      <alignment horizontal="right" wrapText="1"/>
      <protection/>
    </xf>
    <xf numFmtId="0" fontId="0" fillId="40" borderId="166" xfId="0" applyFont="1" applyFill="1" applyBorder="1" applyAlignment="1" applyProtection="1">
      <alignment horizontal="left" vertical="top" wrapText="1"/>
      <protection/>
    </xf>
    <xf numFmtId="172" fontId="18" fillId="44" borderId="166" xfId="43" applyNumberFormat="1" applyFont="1" applyFill="1" applyBorder="1" applyAlignment="1" applyProtection="1">
      <alignment horizontal="right" vertical="center" wrapText="1" indent="1"/>
      <protection/>
    </xf>
    <xf numFmtId="183" fontId="18" fillId="52" borderId="166" xfId="43" applyNumberFormat="1" applyFont="1" applyFill="1" applyBorder="1" applyAlignment="1" applyProtection="1">
      <alignment horizontal="right" vertical="center" wrapText="1" indent="1"/>
      <protection/>
    </xf>
    <xf numFmtId="0" fontId="14" fillId="59" borderId="0" xfId="0" applyFont="1" applyFill="1" applyBorder="1" applyAlignment="1" applyProtection="1">
      <alignment horizontal="left" vertical="top" indent="1"/>
      <protection locked="0"/>
    </xf>
    <xf numFmtId="0" fontId="18" fillId="40" borderId="166" xfId="0" applyFont="1" applyFill="1" applyBorder="1" applyAlignment="1" applyProtection="1">
      <alignment horizontal="left" vertical="top" wrapText="1"/>
      <protection/>
    </xf>
    <xf numFmtId="183" fontId="18" fillId="44" borderId="166" xfId="0" applyNumberFormat="1" applyFont="1" applyFill="1" applyBorder="1" applyAlignment="1" applyProtection="1">
      <alignment vertical="center"/>
      <protection/>
    </xf>
    <xf numFmtId="183" fontId="18" fillId="52" borderId="166" xfId="0" applyNumberFormat="1" applyFont="1" applyFill="1" applyBorder="1" applyAlignment="1" applyProtection="1">
      <alignment vertical="center"/>
      <protection/>
    </xf>
    <xf numFmtId="0" fontId="18" fillId="40" borderId="43" xfId="0" applyFont="1" applyFill="1" applyBorder="1" applyAlignment="1" applyProtection="1">
      <alignment horizontal="left" vertical="top" wrapText="1"/>
      <protection/>
    </xf>
    <xf numFmtId="181" fontId="18" fillId="44" borderId="43" xfId="43" applyNumberFormat="1" applyFont="1" applyFill="1" applyBorder="1" applyAlignment="1" applyProtection="1">
      <alignment horizontal="right" vertical="center" wrapText="1" indent="1"/>
      <protection/>
    </xf>
    <xf numFmtId="181" fontId="18" fillId="52" borderId="43" xfId="43" applyNumberFormat="1" applyFont="1" applyFill="1" applyBorder="1" applyAlignment="1" applyProtection="1">
      <alignment horizontal="right" vertical="center" wrapText="1" indent="1"/>
      <protection/>
    </xf>
    <xf numFmtId="172" fontId="18" fillId="44" borderId="166" xfId="0" applyNumberFormat="1" applyFont="1" applyFill="1" applyBorder="1" applyAlignment="1" applyProtection="1">
      <alignment horizontal="right" vertical="center" wrapText="1" indent="1"/>
      <protection/>
    </xf>
    <xf numFmtId="0" fontId="22" fillId="39" borderId="0" xfId="0" applyFont="1" applyFill="1" applyBorder="1" applyAlignment="1" applyProtection="1">
      <alignment horizontal="center" vertical="center" wrapText="1"/>
      <protection/>
    </xf>
    <xf numFmtId="0" fontId="59" fillId="0" borderId="0" xfId="0" applyFont="1" applyFill="1" applyBorder="1" applyAlignment="1" applyProtection="1">
      <alignment horizontal="right" vertical="center" wrapText="1"/>
      <protection/>
    </xf>
    <xf numFmtId="0" fontId="62" fillId="0" borderId="195" xfId="0" applyFont="1" applyBorder="1" applyAlignment="1" applyProtection="1">
      <alignment horizontal="center" vertical="center" wrapText="1"/>
      <protection/>
    </xf>
    <xf numFmtId="0" fontId="59" fillId="0" borderId="196" xfId="0" applyFont="1" applyBorder="1" applyAlignment="1" applyProtection="1">
      <alignment horizontal="center" vertical="center" wrapText="1"/>
      <protection/>
    </xf>
    <xf numFmtId="0" fontId="8" fillId="39" borderId="0" xfId="0" applyFont="1" applyFill="1" applyBorder="1" applyAlignment="1" applyProtection="1">
      <alignment horizontal="left" vertical="center"/>
      <protection/>
    </xf>
    <xf numFmtId="9" fontId="24" fillId="40" borderId="35" xfId="56" applyNumberFormat="1" applyFont="1" applyFill="1" applyBorder="1" applyAlignment="1" applyProtection="1">
      <alignment horizontal="right" vertical="center"/>
      <protection/>
    </xf>
    <xf numFmtId="0" fontId="18" fillId="40" borderId="35" xfId="0" applyFont="1" applyFill="1" applyBorder="1" applyAlignment="1" applyProtection="1">
      <alignment vertical="top" wrapText="1"/>
      <protection/>
    </xf>
    <xf numFmtId="172" fontId="18" fillId="38" borderId="35" xfId="43" applyNumberFormat="1" applyFont="1" applyFill="1" applyBorder="1" applyAlignment="1" applyProtection="1">
      <alignment horizontal="center" vertical="center" wrapText="1"/>
      <protection locked="0"/>
    </xf>
    <xf numFmtId="172" fontId="18" fillId="52" borderId="35" xfId="43" applyNumberFormat="1" applyFont="1" applyFill="1" applyBorder="1" applyAlignment="1" applyProtection="1">
      <alignment horizontal="center" vertical="center" wrapText="1"/>
      <protection/>
    </xf>
    <xf numFmtId="0" fontId="0" fillId="40" borderId="35" xfId="0" applyFont="1" applyFill="1" applyBorder="1" applyAlignment="1" applyProtection="1">
      <alignment horizontal="left" vertical="top" wrapText="1"/>
      <protection/>
    </xf>
    <xf numFmtId="187" fontId="18" fillId="44" borderId="35" xfId="43" applyNumberFormat="1" applyFont="1" applyFill="1" applyBorder="1" applyAlignment="1" applyProtection="1">
      <alignment horizontal="right" vertical="top" wrapText="1" indent="1"/>
      <protection/>
    </xf>
    <xf numFmtId="187" fontId="18" fillId="52" borderId="35" xfId="43" applyNumberFormat="1" applyFont="1" applyFill="1" applyBorder="1" applyAlignment="1" applyProtection="1">
      <alignment horizontal="right" vertical="top" wrapText="1" indent="1"/>
      <protection/>
    </xf>
    <xf numFmtId="0" fontId="18" fillId="40" borderId="35" xfId="0" applyFont="1" applyFill="1" applyBorder="1" applyAlignment="1" applyProtection="1">
      <alignment vertical="center" wrapText="1"/>
      <protection/>
    </xf>
    <xf numFmtId="181" fontId="18" fillId="44" borderId="35" xfId="43" applyNumberFormat="1" applyFont="1" applyFill="1" applyBorder="1" applyAlignment="1" applyProtection="1">
      <alignment horizontal="center" vertical="center" wrapText="1"/>
      <protection/>
    </xf>
    <xf numFmtId="172" fontId="18" fillId="44" borderId="35" xfId="0" applyNumberFormat="1" applyFont="1" applyFill="1" applyBorder="1" applyAlignment="1" applyProtection="1">
      <alignment horizontal="right" vertical="top" wrapText="1" indent="1"/>
      <protection/>
    </xf>
    <xf numFmtId="172" fontId="18" fillId="52" borderId="35" xfId="0" applyNumberFormat="1" applyFont="1" applyFill="1" applyBorder="1" applyAlignment="1" applyProtection="1">
      <alignment horizontal="right" vertical="top" wrapText="1" indent="1"/>
      <protection/>
    </xf>
    <xf numFmtId="172" fontId="18" fillId="44" borderId="35" xfId="43" applyNumberFormat="1" applyFont="1" applyFill="1" applyBorder="1" applyAlignment="1" applyProtection="1">
      <alignment horizontal="right" vertical="top" wrapText="1" indent="1"/>
      <protection/>
    </xf>
    <xf numFmtId="172" fontId="18" fillId="52" borderId="35" xfId="43" applyNumberFormat="1" applyFont="1" applyFill="1" applyBorder="1" applyAlignment="1" applyProtection="1">
      <alignment horizontal="right" vertical="top" wrapText="1" indent="1"/>
      <protection/>
    </xf>
    <xf numFmtId="0" fontId="59" fillId="36" borderId="0" xfId="0" applyFont="1" applyFill="1" applyBorder="1" applyAlignment="1" applyProtection="1">
      <alignment horizontal="center" vertical="center" wrapText="1"/>
      <protection/>
    </xf>
    <xf numFmtId="0" fontId="24" fillId="0" borderId="196" xfId="0" applyFont="1" applyBorder="1" applyAlignment="1" applyProtection="1">
      <alignment horizontal="center" vertical="center" wrapText="1"/>
      <protection/>
    </xf>
    <xf numFmtId="0" fontId="57" fillId="39" borderId="0" xfId="0" applyFont="1" applyFill="1" applyBorder="1" applyAlignment="1" applyProtection="1">
      <alignment horizontal="left" vertical="center"/>
      <protection/>
    </xf>
    <xf numFmtId="0" fontId="0" fillId="40" borderId="34" xfId="0" applyFont="1" applyFill="1" applyBorder="1" applyAlignment="1" applyProtection="1">
      <alignment horizontal="left" vertical="top" wrapText="1"/>
      <protection/>
    </xf>
    <xf numFmtId="181" fontId="18" fillId="44" borderId="34" xfId="43" applyNumberFormat="1" applyFont="1" applyFill="1" applyBorder="1" applyAlignment="1" applyProtection="1">
      <alignment horizontal="right" vertical="top" wrapText="1" indent="1"/>
      <protection/>
    </xf>
    <xf numFmtId="181" fontId="18" fillId="52" borderId="34" xfId="43" applyNumberFormat="1" applyFont="1" applyFill="1" applyBorder="1" applyAlignment="1" applyProtection="1">
      <alignment horizontal="right" vertical="top" wrapText="1" indent="1"/>
      <protection/>
    </xf>
    <xf numFmtId="0" fontId="15" fillId="0" borderId="0" xfId="0" applyFont="1" applyBorder="1" applyAlignment="1" applyProtection="1">
      <alignment horizontal="left" vertical="top" wrapText="1"/>
      <protection/>
    </xf>
    <xf numFmtId="0" fontId="2" fillId="0" borderId="0" xfId="0" applyFont="1" applyBorder="1" applyAlignment="1" applyProtection="1">
      <alignment horizontal="left" vertical="top" wrapText="1"/>
      <protection/>
    </xf>
    <xf numFmtId="0" fontId="85" fillId="0" borderId="112" xfId="54" applyFont="1" applyFill="1" applyBorder="1" applyAlignment="1">
      <alignment horizontal="left" vertical="top" wrapText="1"/>
      <protection/>
    </xf>
  </cellXfs>
  <cellStyles count="53">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Euro" xfId="43"/>
    <cellStyle name="Insatisfaisant" xfId="44"/>
    <cellStyle name="Hyperlink" xfId="45"/>
    <cellStyle name="Followed Hyperlink" xfId="46"/>
    <cellStyle name="Comma" xfId="47"/>
    <cellStyle name="Comma [0]" xfId="48"/>
    <cellStyle name="Milliers 2" xfId="49"/>
    <cellStyle name="Milliers 4" xfId="50"/>
    <cellStyle name="Currency" xfId="51"/>
    <cellStyle name="Currency [0]" xfId="52"/>
    <cellStyle name="Neutre" xfId="53"/>
    <cellStyle name="Normal 2" xfId="54"/>
    <cellStyle name="Note" xfId="55"/>
    <cellStyle name="Percent" xfId="56"/>
    <cellStyle name="Satisfaisant" xfId="57"/>
    <cellStyle name="Sortie" xfId="58"/>
    <cellStyle name="Texte explicatif" xfId="59"/>
    <cellStyle name="Titre" xfId="60"/>
    <cellStyle name="Titre 1" xfId="61"/>
    <cellStyle name="Titre 2" xfId="62"/>
    <cellStyle name="Titre 3" xfId="63"/>
    <cellStyle name="Titre 4" xfId="64"/>
    <cellStyle name="Total" xfId="65"/>
    <cellStyle name="Vérification" xfId="66"/>
  </cellStyles>
  <dxfs count="2">
    <dxf>
      <font>
        <b val="0"/>
        <color indexed="17"/>
      </font>
    </dxf>
    <dxf>
      <font>
        <b val="0"/>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FFD320"/>
      <rgbColor rgb="00800000"/>
      <rgbColor rgb="00008000"/>
      <rgbColor rgb="00000080"/>
      <rgbColor rgb="007F7F7F"/>
      <rgbColor rgb="00800080"/>
      <rgbColor rgb="00336600"/>
      <rgbColor rgb="00C0C0C0"/>
      <rgbColor rgb="00808080"/>
      <rgbColor rgb="009999FF"/>
      <rgbColor rgb="007030A0"/>
      <rgbColor rgb="00FFFFCC"/>
      <rgbColor rgb="00CCFFFF"/>
      <rgbColor rgb="00660066"/>
      <rgbColor rgb="00FF8080"/>
      <rgbColor rgb="000066CC"/>
      <rgbColor rgb="00CCCCFF"/>
      <rgbColor rgb="00000080"/>
      <rgbColor rgb="00FF00FF"/>
      <rgbColor rgb="00E6FF00"/>
      <rgbColor rgb="0000FFFF"/>
      <rgbColor rgb="00800080"/>
      <rgbColor rgb="00800000"/>
      <rgbColor rgb="0000CC00"/>
      <rgbColor rgb="000000FF"/>
      <rgbColor rgb="004FD83C"/>
      <rgbColor rgb="00CCFF66"/>
      <rgbColor rgb="00CCFFCC"/>
      <rgbColor rgb="00FFFF99"/>
      <rgbColor rgb="0099CCFF"/>
      <rgbColor rgb="00FF99CC"/>
      <rgbColor rgb="00CC99FF"/>
      <rgbColor rgb="00FFCC99"/>
      <rgbColor rgb="00FFC000"/>
      <rgbColor rgb="0066CCFF"/>
      <rgbColor rgb="0099CC00"/>
      <rgbColor rgb="00FFCC00"/>
      <rgbColor rgb="00FF9900"/>
      <rgbColor rgb="00FF6600"/>
      <rgbColor rgb="00666699"/>
      <rgbColor rgb="00969696"/>
      <rgbColor rgb="00003366"/>
      <rgbColor rgb="00339966"/>
      <rgbColor rgb="00003300"/>
      <rgbColor rgb="00333300"/>
      <rgbColor rgb="00993300"/>
      <rgbColor rgb="00DC2300"/>
      <rgbColor rgb="00333399"/>
      <rgbColor rgb="004C19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975"/>
          <c:y val="0.096"/>
          <c:w val="0.865"/>
          <c:h val="0.809"/>
        </c:manualLayout>
      </c:layout>
      <c:barChart>
        <c:barDir val="col"/>
        <c:grouping val="stacked"/>
        <c:varyColors val="0"/>
        <c:ser>
          <c:idx val="0"/>
          <c:order val="0"/>
          <c:tx>
            <c:strRef>
              <c:f>Cuisine!$C$4</c:f>
              <c:strCache>
                <c:ptCount val="1"/>
                <c:pt idx="0">
                  <c:v>Aliments achetés</c:v>
                </c:pt>
              </c:strCache>
            </c:strRef>
          </c:tx>
          <c:spPr>
            <a:solidFill>
              <a:srgbClr val="00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_-* #,##0&quot; €&quot;_-;\-* #,##0&quot; €&quot;_-;_-* &quot;- €&quot;_-;_-@_-" sourceLinked="0"/>
            <c:txPr>
              <a:bodyPr vert="horz" rot="0" anchor="ctr"/>
              <a:lstStyle/>
              <a:p>
                <a:pPr algn="ctr">
                  <a:defRPr lang="en-US" cap="none" sz="800" b="0" i="0" u="none" baseline="0">
                    <a:solidFill>
                      <a:srgbClr val="000000"/>
                    </a:solidFill>
                    <a:latin typeface="Arial"/>
                    <a:ea typeface="Arial"/>
                    <a:cs typeface="Arial"/>
                  </a:defRPr>
                </a:pPr>
              </a:p>
            </c:txPr>
            <c:showLegendKey val="0"/>
            <c:showVal val="1"/>
            <c:showBubbleSize val="0"/>
            <c:showCatName val="0"/>
            <c:showSerName val="0"/>
            <c:showPercent val="0"/>
          </c:dLbls>
          <c:cat>
            <c:strRef>
              <c:f>Cuisine!$D$3:$G$3</c:f>
              <c:strCache>
                <c:ptCount val="4"/>
                <c:pt idx="0">
                  <c:v>Vos charges</c:v>
                </c:pt>
                <c:pt idx="1">
                  <c:v>Référence</c:v>
                </c:pt>
                <c:pt idx="2">
                  <c:v>Vos produits</c:v>
                </c:pt>
                <c:pt idx="3">
                  <c:v>Référence</c:v>
                </c:pt>
              </c:strCache>
            </c:strRef>
          </c:cat>
          <c:val>
            <c:numRef>
              <c:f>Cuisine!$D$4:$G$4</c:f>
              <c:numCache>
                <c:ptCount val="4"/>
                <c:pt idx="0">
                  <c:v>0</c:v>
                </c:pt>
                <c:pt idx="1">
                  <c:v>112.48298319327729</c:v>
                </c:pt>
              </c:numCache>
            </c:numRef>
          </c:val>
        </c:ser>
        <c:ser>
          <c:idx val="1"/>
          <c:order val="1"/>
          <c:tx>
            <c:strRef>
              <c:f>Cuisine!$C$5</c:f>
              <c:strCache>
                <c:ptCount val="1"/>
                <c:pt idx="0">
                  <c:v>Charges surfaces</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_-* #,##0&quot; €&quot;_-;\-* #,##0&quot; €&quot;_-;_-* &quot;- €&quot;_-;_-@_-" sourceLinked="0"/>
            <c:txPr>
              <a:bodyPr vert="horz" rot="0" anchor="ctr"/>
              <a:lstStyle/>
              <a:p>
                <a:pPr algn="ctr">
                  <a:defRPr lang="en-US" cap="none" sz="800" b="0" i="0" u="none" baseline="0">
                    <a:solidFill>
                      <a:srgbClr val="000000"/>
                    </a:solidFill>
                    <a:latin typeface="Arial"/>
                    <a:ea typeface="Arial"/>
                    <a:cs typeface="Arial"/>
                  </a:defRPr>
                </a:pPr>
              </a:p>
            </c:txPr>
            <c:showLegendKey val="0"/>
            <c:showVal val="1"/>
            <c:showBubbleSize val="0"/>
            <c:showCatName val="0"/>
            <c:showSerName val="0"/>
            <c:showPercent val="0"/>
          </c:dLbls>
          <c:cat>
            <c:strRef>
              <c:f>Cuisine!$D$3:$G$3</c:f>
              <c:strCache>
                <c:ptCount val="4"/>
                <c:pt idx="0">
                  <c:v>Vos charges</c:v>
                </c:pt>
                <c:pt idx="1">
                  <c:v>Référence</c:v>
                </c:pt>
                <c:pt idx="2">
                  <c:v>Vos produits</c:v>
                </c:pt>
                <c:pt idx="3">
                  <c:v>Référence</c:v>
                </c:pt>
              </c:strCache>
            </c:strRef>
          </c:cat>
          <c:val>
            <c:numRef>
              <c:f>Cuisine!$D$5:$G$5</c:f>
              <c:numCache>
                <c:ptCount val="4"/>
                <c:pt idx="0">
                  <c:v>0</c:v>
                </c:pt>
                <c:pt idx="1">
                  <c:v>50.94371143709712</c:v>
                </c:pt>
              </c:numCache>
            </c:numRef>
          </c:val>
        </c:ser>
        <c:ser>
          <c:idx val="2"/>
          <c:order val="2"/>
          <c:tx>
            <c:strRef>
              <c:f>Cuisine!$C$6</c:f>
              <c:strCache>
                <c:ptCount val="1"/>
                <c:pt idx="0">
                  <c:v>Frais d'élevage</c:v>
                </c:pt>
              </c:strCache>
            </c:strRef>
          </c:tx>
          <c:spPr>
            <a:solidFill>
              <a:srgbClr val="7030A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_-* #,##0&quot; €&quot;_-;\-* #,##0&quot; €&quot;_-;_-* &quot;- €&quot;_-;_-@_-" sourceLinked="0"/>
            <c:txPr>
              <a:bodyPr vert="horz" rot="0" anchor="ctr"/>
              <a:lstStyle/>
              <a:p>
                <a:pPr algn="ctr">
                  <a:defRPr lang="en-US" cap="none" sz="800" b="0" i="0" u="none" baseline="0">
                    <a:solidFill>
                      <a:srgbClr val="FFFFFF"/>
                    </a:solidFill>
                    <a:latin typeface="Arial"/>
                    <a:ea typeface="Arial"/>
                    <a:cs typeface="Arial"/>
                  </a:defRPr>
                </a:pPr>
              </a:p>
            </c:txPr>
            <c:showLegendKey val="0"/>
            <c:showVal val="1"/>
            <c:showBubbleSize val="0"/>
            <c:showCatName val="0"/>
            <c:showSerName val="0"/>
            <c:showPercent val="0"/>
          </c:dLbls>
          <c:cat>
            <c:strRef>
              <c:f>Cuisine!$D$3:$G$3</c:f>
              <c:strCache>
                <c:ptCount val="4"/>
                <c:pt idx="0">
                  <c:v>Vos charges</c:v>
                </c:pt>
                <c:pt idx="1">
                  <c:v>Référence</c:v>
                </c:pt>
                <c:pt idx="2">
                  <c:v>Vos produits</c:v>
                </c:pt>
                <c:pt idx="3">
                  <c:v>Référence</c:v>
                </c:pt>
              </c:strCache>
            </c:strRef>
          </c:cat>
          <c:val>
            <c:numRef>
              <c:f>Cuisine!$D$6:$G$6</c:f>
              <c:numCache>
                <c:ptCount val="4"/>
                <c:pt idx="0">
                  <c:v>0</c:v>
                </c:pt>
                <c:pt idx="1">
                  <c:v>118.9075630252101</c:v>
                </c:pt>
              </c:numCache>
            </c:numRef>
          </c:val>
        </c:ser>
        <c:ser>
          <c:idx val="3"/>
          <c:order val="3"/>
          <c:tx>
            <c:strRef>
              <c:f>Cuisine!$C$7</c:f>
              <c:strCache>
                <c:ptCount val="1"/>
                <c:pt idx="0">
                  <c:v>Frais transfo et com.</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Cuisine!$D$3:$G$3</c:f>
              <c:strCache>
                <c:ptCount val="4"/>
                <c:pt idx="0">
                  <c:v>Vos charges</c:v>
                </c:pt>
                <c:pt idx="1">
                  <c:v>Référence</c:v>
                </c:pt>
                <c:pt idx="2">
                  <c:v>Vos produits</c:v>
                </c:pt>
                <c:pt idx="3">
                  <c:v>Référence</c:v>
                </c:pt>
              </c:strCache>
            </c:strRef>
          </c:cat>
          <c:val>
            <c:numRef>
              <c:f>Cuisine!$D$7:$G$7</c:f>
              <c:numCache>
                <c:ptCount val="4"/>
                <c:pt idx="0">
                  <c:v>0</c:v>
                </c:pt>
                <c:pt idx="1">
                  <c:v>0</c:v>
                </c:pt>
              </c:numCache>
            </c:numRef>
          </c:val>
        </c:ser>
        <c:ser>
          <c:idx val="4"/>
          <c:order val="4"/>
          <c:tx>
            <c:strRef>
              <c:f>Cuisine!$C$8</c:f>
              <c:strCache>
                <c:ptCount val="1"/>
                <c:pt idx="0">
                  <c:v>Frais divers de gestion</c:v>
                </c:pt>
              </c:strCache>
            </c:strRef>
          </c:tx>
          <c:spPr>
            <a:solidFill>
              <a:srgbClr val="CCFF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_-* #,##0&quot; €&quot;_-;\-* #,##0&quot; €&quot;_-;_-* &quot;- €&quot;_-;_-@_-" sourceLinked="0"/>
            <c:txPr>
              <a:bodyPr vert="horz" rot="0" anchor="ctr"/>
              <a:lstStyle/>
              <a:p>
                <a:pPr algn="ctr">
                  <a:defRPr lang="en-US" cap="none" sz="800" b="0" i="0" u="none" baseline="0">
                    <a:solidFill>
                      <a:srgbClr val="000000"/>
                    </a:solidFill>
                    <a:latin typeface="Arial"/>
                    <a:ea typeface="Arial"/>
                    <a:cs typeface="Arial"/>
                  </a:defRPr>
                </a:pPr>
              </a:p>
            </c:txPr>
            <c:showLegendKey val="0"/>
            <c:showVal val="1"/>
            <c:showBubbleSize val="0"/>
            <c:showCatName val="0"/>
            <c:showSerName val="0"/>
            <c:showPercent val="0"/>
          </c:dLbls>
          <c:cat>
            <c:strRef>
              <c:f>Cuisine!$D$3:$G$3</c:f>
              <c:strCache>
                <c:ptCount val="4"/>
                <c:pt idx="0">
                  <c:v>Vos charges</c:v>
                </c:pt>
                <c:pt idx="1">
                  <c:v>Référence</c:v>
                </c:pt>
                <c:pt idx="2">
                  <c:v>Vos produits</c:v>
                </c:pt>
                <c:pt idx="3">
                  <c:v>Référence</c:v>
                </c:pt>
              </c:strCache>
            </c:strRef>
          </c:cat>
          <c:val>
            <c:numRef>
              <c:f>Cuisine!$D$8:$G$8</c:f>
              <c:numCache>
                <c:ptCount val="4"/>
                <c:pt idx="0">
                  <c:v>#N/A</c:v>
                </c:pt>
                <c:pt idx="1">
                  <c:v>41.32311195920986</c:v>
                </c:pt>
              </c:numCache>
            </c:numRef>
          </c:val>
        </c:ser>
        <c:ser>
          <c:idx val="5"/>
          <c:order val="5"/>
          <c:tx>
            <c:strRef>
              <c:f>Cuisine!$C$9</c:f>
              <c:strCache>
                <c:ptCount val="1"/>
                <c:pt idx="0">
                  <c:v>Mécanisation</c:v>
                </c:pt>
              </c:strCache>
            </c:strRef>
          </c:tx>
          <c:spPr>
            <a:solidFill>
              <a:srgbClr val="3366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_-* #,##0&quot; €&quot;_-;\-* #,##0&quot; €&quot;_-;_-* &quot;- €&quot;_-;_-@_-" sourceLinked="0"/>
            <c:txPr>
              <a:bodyPr vert="horz" rot="0" anchor="ctr"/>
              <a:lstStyle/>
              <a:p>
                <a:pPr algn="ctr">
                  <a:defRPr lang="en-US" cap="none" sz="800" b="0" i="0" u="none" baseline="0">
                    <a:solidFill>
                      <a:srgbClr val="FFFFFF"/>
                    </a:solidFill>
                    <a:latin typeface="Arial"/>
                    <a:ea typeface="Arial"/>
                    <a:cs typeface="Arial"/>
                  </a:defRPr>
                </a:pPr>
              </a:p>
            </c:txPr>
            <c:showLegendKey val="0"/>
            <c:showVal val="1"/>
            <c:showBubbleSize val="0"/>
            <c:showCatName val="0"/>
            <c:showSerName val="0"/>
            <c:showPercent val="0"/>
          </c:dLbls>
          <c:cat>
            <c:strRef>
              <c:f>Cuisine!$D$3:$G$3</c:f>
              <c:strCache>
                <c:ptCount val="4"/>
                <c:pt idx="0">
                  <c:v>Vos charges</c:v>
                </c:pt>
                <c:pt idx="1">
                  <c:v>Référence</c:v>
                </c:pt>
                <c:pt idx="2">
                  <c:v>Vos produits</c:v>
                </c:pt>
                <c:pt idx="3">
                  <c:v>Référence</c:v>
                </c:pt>
              </c:strCache>
            </c:strRef>
          </c:cat>
          <c:val>
            <c:numRef>
              <c:f>Cuisine!$D$9:$G$9</c:f>
              <c:numCache>
                <c:ptCount val="4"/>
                <c:pt idx="0">
                  <c:v>#N/A</c:v>
                </c:pt>
                <c:pt idx="1">
                  <c:v>152.6392781345657</c:v>
                </c:pt>
              </c:numCache>
            </c:numRef>
          </c:val>
        </c:ser>
        <c:ser>
          <c:idx val="6"/>
          <c:order val="6"/>
          <c:tx>
            <c:strRef>
              <c:f>Cuisine!$C$10</c:f>
              <c:strCache>
                <c:ptCount val="1"/>
                <c:pt idx="0">
                  <c:v>Bâtiments</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_-* #,##0&quot; €&quot;_-;\-* #,##0&quot; €&quot;_-;_-* &quot;- €&quot;_-;_-@_-" sourceLinked="0"/>
            <c:txPr>
              <a:bodyPr vert="horz" rot="0" anchor="ctr"/>
              <a:lstStyle/>
              <a:p>
                <a:pPr algn="ctr">
                  <a:defRPr lang="en-US" cap="none" sz="800" b="0" i="0" u="none" baseline="0">
                    <a:solidFill>
                      <a:srgbClr val="FFFFFF"/>
                    </a:solidFill>
                    <a:latin typeface="Arial"/>
                    <a:ea typeface="Arial"/>
                    <a:cs typeface="Arial"/>
                  </a:defRPr>
                </a:pPr>
              </a:p>
            </c:txPr>
            <c:showLegendKey val="0"/>
            <c:showVal val="1"/>
            <c:showBubbleSize val="0"/>
            <c:showCatName val="0"/>
            <c:showSerName val="0"/>
            <c:showPercent val="0"/>
          </c:dLbls>
          <c:cat>
            <c:strRef>
              <c:f>Cuisine!$D$3:$G$3</c:f>
              <c:strCache>
                <c:ptCount val="4"/>
                <c:pt idx="0">
                  <c:v>Vos charges</c:v>
                </c:pt>
                <c:pt idx="1">
                  <c:v>Référence</c:v>
                </c:pt>
                <c:pt idx="2">
                  <c:v>Vos produits</c:v>
                </c:pt>
                <c:pt idx="3">
                  <c:v>Référence</c:v>
                </c:pt>
              </c:strCache>
            </c:strRef>
          </c:cat>
          <c:val>
            <c:numRef>
              <c:f>Cuisine!$D$10:$G$10</c:f>
              <c:numCache>
                <c:ptCount val="4"/>
                <c:pt idx="0">
                  <c:v>#N/A</c:v>
                </c:pt>
                <c:pt idx="1">
                  <c:v>151.1701937456133</c:v>
                </c:pt>
              </c:numCache>
            </c:numRef>
          </c:val>
        </c:ser>
        <c:ser>
          <c:idx val="7"/>
          <c:order val="7"/>
          <c:tx>
            <c:strRef>
              <c:f>Cuisine!$C$11</c:f>
              <c:strCache>
                <c:ptCount val="1"/>
                <c:pt idx="0">
                  <c:v>Capital</c:v>
                </c:pt>
              </c:strCache>
            </c:strRef>
          </c:tx>
          <c:spPr>
            <a:solidFill>
              <a:srgbClr val="FF99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_-* #,##0&quot; €&quot;_-;\-* #,##0&quot; €&quot;_-;_-* &quot;- €&quot;_-;_-@_-" sourceLinked="0"/>
            <c:txPr>
              <a:bodyPr vert="horz" rot="0" anchor="ctr"/>
              <a:lstStyle/>
              <a:p>
                <a:pPr algn="ctr">
                  <a:defRPr lang="en-US" cap="none" sz="800" b="0" i="0" u="none" baseline="0">
                    <a:solidFill>
                      <a:srgbClr val="000000"/>
                    </a:solidFill>
                    <a:latin typeface="Arial"/>
                    <a:ea typeface="Arial"/>
                    <a:cs typeface="Arial"/>
                  </a:defRPr>
                </a:pPr>
              </a:p>
            </c:txPr>
            <c:showLegendKey val="0"/>
            <c:showVal val="1"/>
            <c:showBubbleSize val="0"/>
            <c:showCatName val="0"/>
            <c:showSerName val="0"/>
            <c:showPercent val="0"/>
          </c:dLbls>
          <c:cat>
            <c:strRef>
              <c:f>Cuisine!$D$3:$G$3</c:f>
              <c:strCache>
                <c:ptCount val="4"/>
                <c:pt idx="0">
                  <c:v>Vos charges</c:v>
                </c:pt>
                <c:pt idx="1">
                  <c:v>Référence</c:v>
                </c:pt>
                <c:pt idx="2">
                  <c:v>Vos produits</c:v>
                </c:pt>
                <c:pt idx="3">
                  <c:v>Référence</c:v>
                </c:pt>
              </c:strCache>
            </c:strRef>
          </c:cat>
          <c:val>
            <c:numRef>
              <c:f>Cuisine!$D$11:$G$11</c:f>
              <c:numCache>
                <c:ptCount val="4"/>
                <c:pt idx="0">
                  <c:v>0</c:v>
                </c:pt>
                <c:pt idx="1">
                  <c:v>68.15640046345905</c:v>
                </c:pt>
              </c:numCache>
            </c:numRef>
          </c:val>
        </c:ser>
        <c:ser>
          <c:idx val="8"/>
          <c:order val="8"/>
          <c:tx>
            <c:strRef>
              <c:f>Cuisine!$C$12</c:f>
              <c:strCache>
                <c:ptCount val="1"/>
                <c:pt idx="0">
                  <c:v>Travail</c:v>
                </c:pt>
              </c:strCache>
            </c:strRef>
          </c:tx>
          <c:spPr>
            <a:solidFill>
              <a:srgbClr val="FFFF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_-* #,##0&quot; €&quot;_-;\-* #,##0&quot; €&quot;_-;_-* &quot;- €&quot;_-;_-@_-" sourceLinked="0"/>
            <c:txPr>
              <a:bodyPr vert="horz" rot="0" anchor="ctr"/>
              <a:lstStyle/>
              <a:p>
                <a:pPr algn="ctr">
                  <a:defRPr lang="en-US" cap="none" sz="800" b="0" i="0" u="none" baseline="0">
                    <a:solidFill>
                      <a:srgbClr val="000000"/>
                    </a:solidFill>
                    <a:latin typeface="Arial"/>
                    <a:ea typeface="Arial"/>
                    <a:cs typeface="Arial"/>
                  </a:defRPr>
                </a:pPr>
              </a:p>
            </c:txPr>
            <c:showLegendKey val="0"/>
            <c:showVal val="1"/>
            <c:showBubbleSize val="0"/>
            <c:showCatName val="0"/>
            <c:showSerName val="0"/>
            <c:showPercent val="0"/>
          </c:dLbls>
          <c:cat>
            <c:strRef>
              <c:f>Cuisine!$D$3:$G$3</c:f>
              <c:strCache>
                <c:ptCount val="4"/>
                <c:pt idx="0">
                  <c:v>Vos charges</c:v>
                </c:pt>
                <c:pt idx="1">
                  <c:v>Référence</c:v>
                </c:pt>
                <c:pt idx="2">
                  <c:v>Vos produits</c:v>
                </c:pt>
                <c:pt idx="3">
                  <c:v>Référence</c:v>
                </c:pt>
              </c:strCache>
            </c:strRef>
          </c:cat>
          <c:val>
            <c:numRef>
              <c:f>Cuisine!$D$12:$G$12</c:f>
              <c:numCache>
                <c:ptCount val="4"/>
                <c:pt idx="0">
                  <c:v>#N/A</c:v>
                </c:pt>
                <c:pt idx="1">
                  <c:v>232.78108312321822</c:v>
                </c:pt>
              </c:numCache>
            </c:numRef>
          </c:val>
        </c:ser>
        <c:ser>
          <c:idx val="9"/>
          <c:order val="9"/>
          <c:tx>
            <c:strRef>
              <c:f>Cuisine!$C$13</c:f>
              <c:strCache>
                <c:ptCount val="1"/>
                <c:pt idx="0">
                  <c:v>Aides totales</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_-* #,##0&quot; €&quot;_-;\-* #,##0&quot; €&quot;_-;_-* &quot;- €&quot;_-;_-@_-" sourceLinked="0"/>
            <c:txPr>
              <a:bodyPr vert="horz" rot="0" anchor="ctr"/>
              <a:lstStyle/>
              <a:p>
                <a:pPr algn="ctr">
                  <a:defRPr lang="en-US" cap="none" sz="800" b="0" i="0" u="none" baseline="0">
                    <a:solidFill>
                      <a:srgbClr val="FFFFFF"/>
                    </a:solidFill>
                    <a:latin typeface="Arial"/>
                    <a:ea typeface="Arial"/>
                    <a:cs typeface="Arial"/>
                  </a:defRPr>
                </a:pPr>
              </a:p>
            </c:txPr>
            <c:showLegendKey val="0"/>
            <c:showVal val="1"/>
            <c:showBubbleSize val="0"/>
            <c:showCatName val="0"/>
            <c:showSerName val="0"/>
            <c:showPercent val="0"/>
          </c:dLbls>
          <c:cat>
            <c:strRef>
              <c:f>Cuisine!$D$3:$G$3</c:f>
              <c:strCache>
                <c:ptCount val="4"/>
                <c:pt idx="0">
                  <c:v>Vos charges</c:v>
                </c:pt>
                <c:pt idx="1">
                  <c:v>Référence</c:v>
                </c:pt>
                <c:pt idx="2">
                  <c:v>Vos produits</c:v>
                </c:pt>
                <c:pt idx="3">
                  <c:v>Référence</c:v>
                </c:pt>
              </c:strCache>
            </c:strRef>
          </c:cat>
          <c:val>
            <c:numRef>
              <c:f>Cuisine!$D$13:$G$13</c:f>
              <c:numCache>
                <c:ptCount val="4"/>
                <c:pt idx="2">
                  <c:v>0</c:v>
                </c:pt>
                <c:pt idx="3">
                  <c:v>197.40861340691063</c:v>
                </c:pt>
              </c:numCache>
            </c:numRef>
          </c:val>
        </c:ser>
        <c:ser>
          <c:idx val="10"/>
          <c:order val="10"/>
          <c:tx>
            <c:strRef>
              <c:f>Cuisine!$C$14</c:f>
              <c:strCache>
                <c:ptCount val="1"/>
                <c:pt idx="0">
                  <c:v>Produits joints</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_-* #,##0&quot; €&quot;_-;\-* #,##0&quot; €&quot;_-;_-* &quot;- €&quot;_-;_-@_-" sourceLinked="0"/>
            <c:txPr>
              <a:bodyPr vert="horz" rot="0" anchor="ctr"/>
              <a:lstStyle/>
              <a:p>
                <a:pPr algn="ctr">
                  <a:defRPr lang="en-US" cap="none" sz="800" b="0" i="0" u="none" baseline="0">
                    <a:solidFill>
                      <a:srgbClr val="FFFFFF"/>
                    </a:solidFill>
                    <a:latin typeface="Arial"/>
                    <a:ea typeface="Arial"/>
                    <a:cs typeface="Arial"/>
                  </a:defRPr>
                </a:pPr>
              </a:p>
            </c:txPr>
            <c:showLegendKey val="0"/>
            <c:showVal val="1"/>
            <c:showBubbleSize val="0"/>
            <c:showCatName val="0"/>
            <c:showSerName val="0"/>
            <c:showPercent val="0"/>
          </c:dLbls>
          <c:cat>
            <c:strRef>
              <c:f>Cuisine!$D$3:$G$3</c:f>
              <c:strCache>
                <c:ptCount val="4"/>
                <c:pt idx="0">
                  <c:v>Vos charges</c:v>
                </c:pt>
                <c:pt idx="1">
                  <c:v>Référence</c:v>
                </c:pt>
                <c:pt idx="2">
                  <c:v>Vos produits</c:v>
                </c:pt>
                <c:pt idx="3">
                  <c:v>Référence</c:v>
                </c:pt>
              </c:strCache>
            </c:strRef>
          </c:cat>
          <c:val>
            <c:numRef>
              <c:f>Cuisine!$D$14:$G$14</c:f>
              <c:numCache>
                <c:ptCount val="4"/>
                <c:pt idx="2">
                  <c:v>0</c:v>
                </c:pt>
                <c:pt idx="3">
                  <c:v>10.546218487394958</c:v>
                </c:pt>
              </c:numCache>
            </c:numRef>
          </c:val>
        </c:ser>
        <c:ser>
          <c:idx val="11"/>
          <c:order val="11"/>
          <c:tx>
            <c:strRef>
              <c:f>Cuisine!$C$15</c:f>
              <c:strCache>
                <c:ptCount val="1"/>
                <c:pt idx="0">
                  <c:v>Prix du lait </c:v>
                </c:pt>
              </c:strCache>
            </c:strRef>
          </c:tx>
          <c:spPr>
            <a:solidFill>
              <a:srgbClr val="66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_-* #,##0&quot; €&quot;_-;\-* #,##0&quot; €&quot;_-;_-* &quot;- €&quot;_-;_-@_-" sourceLinked="0"/>
            <c:txPr>
              <a:bodyPr vert="horz" rot="0" anchor="ctr"/>
              <a:lstStyle/>
              <a:p>
                <a:pPr algn="ctr">
                  <a:defRPr lang="en-US" cap="none" sz="800" b="0" i="0" u="none" baseline="0">
                    <a:solidFill>
                      <a:srgbClr val="FFFFFF"/>
                    </a:solidFill>
                    <a:latin typeface="Arial"/>
                    <a:ea typeface="Arial"/>
                    <a:cs typeface="Arial"/>
                  </a:defRPr>
                </a:pPr>
              </a:p>
            </c:txPr>
            <c:showLegendKey val="0"/>
            <c:showVal val="1"/>
            <c:showBubbleSize val="0"/>
            <c:showCatName val="0"/>
            <c:showSerName val="0"/>
            <c:showPercent val="0"/>
          </c:dLbls>
          <c:cat>
            <c:strRef>
              <c:f>Cuisine!$D$3:$G$3</c:f>
              <c:strCache>
                <c:ptCount val="4"/>
                <c:pt idx="0">
                  <c:v>Vos charges</c:v>
                </c:pt>
                <c:pt idx="1">
                  <c:v>Référence</c:v>
                </c:pt>
                <c:pt idx="2">
                  <c:v>Vos produits</c:v>
                </c:pt>
                <c:pt idx="3">
                  <c:v>Référence</c:v>
                </c:pt>
              </c:strCache>
            </c:strRef>
          </c:cat>
          <c:val>
            <c:numRef>
              <c:f>Cuisine!$D$15:$G$15</c:f>
              <c:numCache>
                <c:ptCount val="4"/>
                <c:pt idx="2">
                  <c:v>0</c:v>
                </c:pt>
                <c:pt idx="3">
                  <c:v>688</c:v>
                </c:pt>
              </c:numCache>
            </c:numRef>
          </c:val>
        </c:ser>
        <c:overlap val="100"/>
        <c:gapWidth val="70"/>
        <c:axId val="20251632"/>
        <c:axId val="29769457"/>
      </c:barChart>
      <c:catAx>
        <c:axId val="20251632"/>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9769457"/>
        <c:crossesAt val="0"/>
        <c:auto val="1"/>
        <c:lblOffset val="100"/>
        <c:tickLblSkip val="1"/>
        <c:noMultiLvlLbl val="0"/>
      </c:catAx>
      <c:valAx>
        <c:axId val="29769457"/>
        <c:scaling>
          <c:orientation val="minMax"/>
          <c:min val="0"/>
        </c:scaling>
        <c:axPos val="l"/>
        <c:minorGridlines>
          <c:spPr>
            <a:ln w="3175">
              <a:solidFill>
                <a:srgbClr val="000000"/>
              </a:solidFill>
              <a:prstDash val="sysDot"/>
            </a:ln>
          </c:spPr>
        </c:minorGridlines>
        <c:delete val="0"/>
        <c:numFmt formatCode="_-* #,##0&quot; €&quot;_-;\-* #,##0&quot; €&quot;_-;_-* &quot;- €&quot;_-;_-@_-"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0251632"/>
        <c:crossesAt val="1"/>
        <c:crossBetween val="between"/>
        <c:dispUnits/>
        <c:majorUnit val="100"/>
        <c:minorUnit val="50"/>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3425"/>
          <c:y val="0.11775"/>
          <c:w val="0.849"/>
          <c:h val="0.75675"/>
        </c:manualLayout>
      </c:layout>
      <c:scatterChart>
        <c:scatterStyle val="lineMarker"/>
        <c:varyColors val="0"/>
        <c:ser>
          <c:idx val="0"/>
          <c:order val="0"/>
          <c:tx>
            <c:strRef>
              <c:f>Cuisine!$K$4</c:f>
              <c:strCache>
                <c:ptCount val="1"/>
                <c:pt idx="0">
                  <c:v>  Votre atelier</c:v>
                </c:pt>
              </c:strCache>
            </c:strRef>
          </c:tx>
          <c:spPr>
            <a:ln w="381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Cuisine!$J$5:$J$16</c:f>
              <c:numCache>
                <c:ptCount val="12"/>
                <c:pt idx="0">
                  <c:v>-0.5</c:v>
                </c:pt>
                <c:pt idx="1">
                  <c:v>0</c:v>
                </c:pt>
                <c:pt idx="2">
                  <c:v>0.5</c:v>
                </c:pt>
                <c:pt idx="3">
                  <c:v>1</c:v>
                </c:pt>
                <c:pt idx="4">
                  <c:v>1.5</c:v>
                </c:pt>
                <c:pt idx="5">
                  <c:v>2</c:v>
                </c:pt>
                <c:pt idx="6">
                  <c:v>2.5</c:v>
                </c:pt>
                <c:pt idx="7">
                  <c:v>3</c:v>
                </c:pt>
                <c:pt idx="8">
                  <c:v>3.5</c:v>
                </c:pt>
                <c:pt idx="9">
                  <c:v>4</c:v>
                </c:pt>
                <c:pt idx="10">
                  <c:v>0</c:v>
                </c:pt>
                <c:pt idx="11">
                  <c:v>1.7212016307169746</c:v>
                </c:pt>
              </c:numCache>
            </c:numRef>
          </c:xVal>
          <c:yVal>
            <c:numRef>
              <c:f>Cuisine!$K$5:$K$16</c:f>
              <c:numCache>
                <c:ptCount val="12"/>
                <c:pt idx="0">
                  <c:v>0</c:v>
                </c:pt>
                <c:pt idx="1">
                  <c:v>0</c:v>
                </c:pt>
                <c:pt idx="2">
                  <c:v>0</c:v>
                </c:pt>
                <c:pt idx="3">
                  <c:v>0</c:v>
                </c:pt>
                <c:pt idx="4">
                  <c:v>0</c:v>
                </c:pt>
                <c:pt idx="5">
                  <c:v>0</c:v>
                </c:pt>
                <c:pt idx="6">
                  <c:v>0</c:v>
                </c:pt>
                <c:pt idx="7">
                  <c:v>0</c:v>
                </c:pt>
                <c:pt idx="8">
                  <c:v>0</c:v>
                </c:pt>
                <c:pt idx="9">
                  <c:v>0</c:v>
                </c:pt>
              </c:numCache>
            </c:numRef>
          </c:yVal>
          <c:smooth val="0"/>
        </c:ser>
        <c:ser>
          <c:idx val="1"/>
          <c:order val="1"/>
          <c:tx>
            <c:strRef>
              <c:f>Cuisine!$L$4</c:f>
              <c:strCache>
                <c:ptCount val="1"/>
                <c:pt idx="0">
                  <c:v>  Référence</c:v>
                </c:pt>
              </c:strCache>
            </c:strRef>
          </c:tx>
          <c:spPr>
            <a:ln w="381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Cuisine!$J$5:$J$16</c:f>
              <c:numCache>
                <c:ptCount val="12"/>
                <c:pt idx="0">
                  <c:v>-0.5</c:v>
                </c:pt>
                <c:pt idx="1">
                  <c:v>0</c:v>
                </c:pt>
                <c:pt idx="2">
                  <c:v>0.5</c:v>
                </c:pt>
                <c:pt idx="3">
                  <c:v>1</c:v>
                </c:pt>
                <c:pt idx="4">
                  <c:v>1.5</c:v>
                </c:pt>
                <c:pt idx="5">
                  <c:v>2</c:v>
                </c:pt>
                <c:pt idx="6">
                  <c:v>2.5</c:v>
                </c:pt>
                <c:pt idx="7">
                  <c:v>3</c:v>
                </c:pt>
                <c:pt idx="8">
                  <c:v>3.5</c:v>
                </c:pt>
                <c:pt idx="9">
                  <c:v>4</c:v>
                </c:pt>
                <c:pt idx="10">
                  <c:v>0</c:v>
                </c:pt>
                <c:pt idx="11">
                  <c:v>1.7212016307169746</c:v>
                </c:pt>
              </c:numCache>
            </c:numRef>
          </c:xVal>
          <c:yVal>
            <c:numRef>
              <c:f>Cuisine!$L$5:$L$16</c:f>
              <c:numCache>
                <c:ptCount val="12"/>
                <c:pt idx="0">
                  <c:v>429.4731392833221</c:v>
                </c:pt>
                <c:pt idx="1">
                  <c:v>487.66841006412665</c:v>
                </c:pt>
                <c:pt idx="2">
                  <c:v>545.8636808449312</c:v>
                </c:pt>
                <c:pt idx="3">
                  <c:v>604.0589516257357</c:v>
                </c:pt>
                <c:pt idx="4">
                  <c:v>662.2542224065403</c:v>
                </c:pt>
                <c:pt idx="5">
                  <c:v>720.4494931873448</c:v>
                </c:pt>
                <c:pt idx="6">
                  <c:v>778.6447639681494</c:v>
                </c:pt>
                <c:pt idx="7">
                  <c:v>836.8400347489539</c:v>
                </c:pt>
                <c:pt idx="8">
                  <c:v>895.0353055297587</c:v>
                </c:pt>
                <c:pt idx="9">
                  <c:v>953.2305763105633</c:v>
                </c:pt>
              </c:numCache>
            </c:numRef>
          </c:yVal>
          <c:smooth val="0"/>
        </c:ser>
        <c:ser>
          <c:idx val="2"/>
          <c:order val="2"/>
          <c:tx>
            <c:strRef>
              <c:f>Cuisine!$M$4</c:f>
              <c:strCache>
                <c:ptCount val="1"/>
                <c:pt idx="0">
                  <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circle"/>
            <c:size val="10"/>
            <c:spPr>
              <a:solidFill>
                <a:srgbClr val="99CC00"/>
              </a:solidFill>
              <a:ln>
                <a:solidFill>
                  <a:srgbClr val="99CC00"/>
                </a:solidFill>
              </a:ln>
            </c:spPr>
          </c:marker>
          <c:xVal>
            <c:numRef>
              <c:f>Cuisine!$J$5:$J$16</c:f>
              <c:numCache>
                <c:ptCount val="12"/>
                <c:pt idx="0">
                  <c:v>-0.5</c:v>
                </c:pt>
                <c:pt idx="1">
                  <c:v>0</c:v>
                </c:pt>
                <c:pt idx="2">
                  <c:v>0.5</c:v>
                </c:pt>
                <c:pt idx="3">
                  <c:v>1</c:v>
                </c:pt>
                <c:pt idx="4">
                  <c:v>1.5</c:v>
                </c:pt>
                <c:pt idx="5">
                  <c:v>2</c:v>
                </c:pt>
                <c:pt idx="6">
                  <c:v>2.5</c:v>
                </c:pt>
                <c:pt idx="7">
                  <c:v>3</c:v>
                </c:pt>
                <c:pt idx="8">
                  <c:v>3.5</c:v>
                </c:pt>
                <c:pt idx="9">
                  <c:v>4</c:v>
                </c:pt>
                <c:pt idx="10">
                  <c:v>0</c:v>
                </c:pt>
                <c:pt idx="11">
                  <c:v>1.7212016307169746</c:v>
                </c:pt>
              </c:numCache>
            </c:numRef>
          </c:xVal>
          <c:yVal>
            <c:numRef>
              <c:f>Cuisine!$M$5:$M$16</c:f>
              <c:numCache>
                <c:ptCount val="12"/>
                <c:pt idx="10">
                  <c:v>0</c:v>
                </c:pt>
              </c:numCache>
            </c:numRef>
          </c:yVal>
          <c:smooth val="0"/>
        </c:ser>
        <c:ser>
          <c:idx val="3"/>
          <c:order val="3"/>
          <c:tx>
            <c:strRef>
              <c:f>Cuisine!$N$4</c:f>
              <c:strCache>
                <c:ptCount val="1"/>
                <c:pt idx="0">
                  <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circle"/>
            <c:size val="10"/>
            <c:spPr>
              <a:solidFill>
                <a:srgbClr val="666699"/>
              </a:solidFill>
              <a:ln>
                <a:solidFill>
                  <a:srgbClr val="666699"/>
                </a:solidFill>
              </a:ln>
            </c:spPr>
          </c:marker>
          <c:xVal>
            <c:numRef>
              <c:f>Cuisine!$J$5:$J$16</c:f>
              <c:numCache>
                <c:ptCount val="12"/>
                <c:pt idx="0">
                  <c:v>-0.5</c:v>
                </c:pt>
                <c:pt idx="1">
                  <c:v>0</c:v>
                </c:pt>
                <c:pt idx="2">
                  <c:v>0.5</c:v>
                </c:pt>
                <c:pt idx="3">
                  <c:v>1</c:v>
                </c:pt>
                <c:pt idx="4">
                  <c:v>1.5</c:v>
                </c:pt>
                <c:pt idx="5">
                  <c:v>2</c:v>
                </c:pt>
                <c:pt idx="6">
                  <c:v>2.5</c:v>
                </c:pt>
                <c:pt idx="7">
                  <c:v>3</c:v>
                </c:pt>
                <c:pt idx="8">
                  <c:v>3.5</c:v>
                </c:pt>
                <c:pt idx="9">
                  <c:v>4</c:v>
                </c:pt>
                <c:pt idx="10">
                  <c:v>0</c:v>
                </c:pt>
                <c:pt idx="11">
                  <c:v>1.7212016307169746</c:v>
                </c:pt>
              </c:numCache>
            </c:numRef>
          </c:xVal>
          <c:yVal>
            <c:numRef>
              <c:f>Cuisine!$N$5:$N$16</c:f>
              <c:numCache>
                <c:ptCount val="12"/>
                <c:pt idx="11">
                  <c:v>688</c:v>
                </c:pt>
              </c:numCache>
            </c:numRef>
          </c:yVal>
          <c:smooth val="0"/>
        </c:ser>
        <c:axId val="62515778"/>
        <c:axId val="30613219"/>
      </c:scatterChart>
      <c:valAx>
        <c:axId val="62515778"/>
        <c:scaling>
          <c:orientation val="minMax"/>
          <c:max val="6"/>
          <c:min val="-4"/>
        </c:scaling>
        <c:axPos val="b"/>
        <c:title>
          <c:tx>
            <c:rich>
              <a:bodyPr vert="horz" rot="0" anchor="ctr"/>
              <a:lstStyle/>
              <a:p>
                <a:pPr algn="ctr">
                  <a:defRPr/>
                </a:pPr>
                <a:r>
                  <a:rPr lang="en-US" cap="none" sz="900" b="1" i="0" u="none" baseline="0">
                    <a:solidFill>
                      <a:srgbClr val="000000"/>
                    </a:solidFill>
                    <a:latin typeface="Arial"/>
                    <a:ea typeface="Arial"/>
                    <a:cs typeface="Arial"/>
                  </a:rPr>
                  <a:t>Rémunération du travail
Nb de SMIC brut / UMO exploitant consacrée à l'atelier</a:t>
                </a:r>
              </a:p>
            </c:rich>
          </c:tx>
          <c:layout>
            <c:manualLayout>
              <c:xMode val="factor"/>
              <c:yMode val="factor"/>
              <c:x val="0.01"/>
              <c:y val="0.00325"/>
            </c:manualLayout>
          </c:layout>
          <c:overlay val="0"/>
          <c:spPr>
            <a:noFill/>
            <a:ln>
              <a:noFill/>
            </a:ln>
          </c:spPr>
        </c:title>
        <c:majorGridlines>
          <c:spPr>
            <a:ln w="3175">
              <a:solidFill>
                <a:srgbClr val="808080"/>
              </a:solidFill>
            </a:ln>
          </c:spPr>
        </c:majorGridlines>
        <c:delete val="0"/>
        <c:numFmt formatCode="0.0" sourceLinked="0"/>
        <c:majorTickMark val="out"/>
        <c:minorTickMark val="none"/>
        <c:tickLblPos val="nextTo"/>
        <c:spPr>
          <a:ln w="3175">
            <a:solidFill>
              <a:srgbClr val="808080"/>
            </a:solidFill>
          </a:ln>
        </c:spPr>
        <c:txPr>
          <a:bodyPr vert="horz" rot="0"/>
          <a:lstStyle/>
          <a:p>
            <a:pPr>
              <a:defRPr lang="en-US" cap="none" sz="800" b="1" i="0" u="none" baseline="0">
                <a:solidFill>
                  <a:srgbClr val="000000"/>
                </a:solidFill>
                <a:latin typeface="Arial"/>
                <a:ea typeface="Arial"/>
                <a:cs typeface="Arial"/>
              </a:defRPr>
            </a:pPr>
          </a:p>
        </c:txPr>
        <c:crossAx val="30613219"/>
        <c:crossesAt val="0"/>
        <c:crossBetween val="midCat"/>
        <c:dispUnits/>
      </c:valAx>
      <c:valAx>
        <c:axId val="30613219"/>
        <c:scaling>
          <c:orientation val="minMax"/>
          <c:min val="0"/>
        </c:scaling>
        <c:axPos val="l"/>
        <c:title>
          <c:tx>
            <c:rich>
              <a:bodyPr vert="horz" rot="-5400000" anchor="ctr"/>
              <a:lstStyle/>
              <a:p>
                <a:pPr algn="ctr">
                  <a:defRPr/>
                </a:pPr>
                <a:r>
                  <a:rPr lang="en-US" cap="none" sz="900" b="1" i="0" u="none" baseline="0">
                    <a:solidFill>
                      <a:srgbClr val="000000"/>
                    </a:solidFill>
                    <a:latin typeface="Arial"/>
                    <a:ea typeface="Arial"/>
                    <a:cs typeface="Arial"/>
                  </a:rPr>
                  <a:t>Prix de revient[ € / 1000 litres ]</a:t>
                </a:r>
              </a:p>
            </c:rich>
          </c:tx>
          <c:layout>
            <c:manualLayout>
              <c:xMode val="factor"/>
              <c:yMode val="factor"/>
              <c:x val="-0.02325"/>
              <c:y val="-0.003"/>
            </c:manualLayout>
          </c:layout>
          <c:overlay val="0"/>
          <c:spPr>
            <a:noFill/>
            <a:ln>
              <a:noFill/>
            </a:ln>
          </c:spPr>
        </c:title>
        <c:majorGridlines>
          <c:spPr>
            <a:ln w="3175">
              <a:solidFill>
                <a:srgbClr val="808080"/>
              </a:solidFill>
            </a:ln>
          </c:spPr>
        </c:majorGridlines>
        <c:delete val="0"/>
        <c:numFmt formatCode="#,##0&quot; €&quot;" sourceLinked="0"/>
        <c:majorTickMark val="none"/>
        <c:minorTickMark val="none"/>
        <c:tickLblPos val="low"/>
        <c:spPr>
          <a:ln w="25400">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2515778"/>
        <c:crossesAt val="0"/>
        <c:crossBetween val="midCat"/>
        <c:dispUnits/>
      </c:valAx>
      <c:spPr>
        <a:solidFill>
          <a:srgbClr val="FFFFFF"/>
        </a:solidFill>
        <a:ln w="3175">
          <a:no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925"/>
          <c:y val="0.14425"/>
          <c:w val="0.86375"/>
          <c:h val="0.7725"/>
        </c:manualLayout>
      </c:layout>
      <c:scatterChart>
        <c:scatterStyle val="lineMarker"/>
        <c:varyColors val="0"/>
        <c:ser>
          <c:idx val="0"/>
          <c:order val="0"/>
          <c:tx>
            <c:strRef>
              <c:f>Cuisine!$K$23</c:f>
              <c:strCache>
                <c:ptCount val="1"/>
                <c:pt idx="0">
                  <c:v>Résultat</c:v>
                </c:pt>
              </c:strCache>
            </c:strRef>
          </c:tx>
          <c:spPr>
            <a:ln w="381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Cuisine!$J$24:$J$34</c:f>
              <c:numCache>
                <c:ptCount val="11"/>
                <c:pt idx="0">
                  <c:v>-0.5</c:v>
                </c:pt>
                <c:pt idx="1">
                  <c:v>0</c:v>
                </c:pt>
                <c:pt idx="2">
                  <c:v>0.5</c:v>
                </c:pt>
                <c:pt idx="3">
                  <c:v>1</c:v>
                </c:pt>
                <c:pt idx="4">
                  <c:v>1.5</c:v>
                </c:pt>
                <c:pt idx="5">
                  <c:v>2</c:v>
                </c:pt>
                <c:pt idx="6">
                  <c:v>2.5</c:v>
                </c:pt>
                <c:pt idx="7">
                  <c:v>3</c:v>
                </c:pt>
                <c:pt idx="8">
                  <c:v>3.5</c:v>
                </c:pt>
                <c:pt idx="9">
                  <c:v>0</c:v>
                </c:pt>
                <c:pt idx="10">
                  <c:v>0</c:v>
                </c:pt>
              </c:numCache>
            </c:numRef>
          </c:xVal>
          <c:yVal>
            <c:numRef>
              <c:f>Cuisine!$K$24:$K$34</c:f>
              <c:numCache>
                <c:ptCount val="11"/>
                <c:pt idx="0">
                  <c:v>0</c:v>
                </c:pt>
                <c:pt idx="1">
                  <c:v>0</c:v>
                </c:pt>
                <c:pt idx="2">
                  <c:v>0</c:v>
                </c:pt>
                <c:pt idx="3">
                  <c:v>0</c:v>
                </c:pt>
                <c:pt idx="4">
                  <c:v>0</c:v>
                </c:pt>
                <c:pt idx="5">
                  <c:v>0</c:v>
                </c:pt>
                <c:pt idx="6">
                  <c:v>0</c:v>
                </c:pt>
                <c:pt idx="7">
                  <c:v>0</c:v>
                </c:pt>
                <c:pt idx="8">
                  <c:v>0</c:v>
                </c:pt>
              </c:numCache>
            </c:numRef>
          </c:yVal>
          <c:smooth val="0"/>
        </c:ser>
        <c:ser>
          <c:idx val="1"/>
          <c:order val="1"/>
          <c:tx>
            <c:strRef>
              <c:f>Cuisine!$L$23</c:f>
              <c:strCache>
                <c:ptCount val="1"/>
                <c:pt idx="0">
                  <c:v>Simulation</c:v>
                </c:pt>
              </c:strCache>
            </c:strRef>
          </c:tx>
          <c:spPr>
            <a:ln w="381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Cuisine!$J$24:$J$34</c:f>
              <c:numCache>
                <c:ptCount val="11"/>
                <c:pt idx="0">
                  <c:v>-0.5</c:v>
                </c:pt>
                <c:pt idx="1">
                  <c:v>0</c:v>
                </c:pt>
                <c:pt idx="2">
                  <c:v>0.5</c:v>
                </c:pt>
                <c:pt idx="3">
                  <c:v>1</c:v>
                </c:pt>
                <c:pt idx="4">
                  <c:v>1.5</c:v>
                </c:pt>
                <c:pt idx="5">
                  <c:v>2</c:v>
                </c:pt>
                <c:pt idx="6">
                  <c:v>2.5</c:v>
                </c:pt>
                <c:pt idx="7">
                  <c:v>3</c:v>
                </c:pt>
                <c:pt idx="8">
                  <c:v>3.5</c:v>
                </c:pt>
                <c:pt idx="9">
                  <c:v>0</c:v>
                </c:pt>
                <c:pt idx="10">
                  <c:v>0</c:v>
                </c:pt>
              </c:numCache>
            </c:numRef>
          </c:xVal>
          <c:yVal>
            <c:numRef>
              <c:f>Cuisine!$L$24:$L$34</c:f>
              <c:numCache>
                <c:ptCount val="11"/>
                <c:pt idx="0">
                  <c:v>0</c:v>
                </c:pt>
                <c:pt idx="1">
                  <c:v>0</c:v>
                </c:pt>
                <c:pt idx="2">
                  <c:v>0</c:v>
                </c:pt>
                <c:pt idx="3">
                  <c:v>0</c:v>
                </c:pt>
                <c:pt idx="4">
                  <c:v>0</c:v>
                </c:pt>
                <c:pt idx="5">
                  <c:v>0</c:v>
                </c:pt>
                <c:pt idx="6">
                  <c:v>0</c:v>
                </c:pt>
                <c:pt idx="7">
                  <c:v>0</c:v>
                </c:pt>
                <c:pt idx="8">
                  <c:v>0</c:v>
                </c:pt>
              </c:numCache>
            </c:numRef>
          </c:yVal>
          <c:smooth val="0"/>
        </c:ser>
        <c:ser>
          <c:idx val="2"/>
          <c:order val="2"/>
          <c:tx>
            <c:strRef>
              <c:f>Cuisine!$M$23</c:f>
              <c:strCache>
                <c:ptCount val="1"/>
                <c:pt idx="0">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10"/>
            <c:spPr>
              <a:solidFill>
                <a:srgbClr val="FFFFFF"/>
              </a:solidFill>
              <a:ln>
                <a:solidFill>
                  <a:srgbClr val="FFFFFF"/>
                </a:solidFill>
              </a:ln>
            </c:spPr>
          </c:marker>
          <c:xVal>
            <c:numRef>
              <c:f>Cuisine!$J$24:$J$34</c:f>
              <c:numCache>
                <c:ptCount val="11"/>
                <c:pt idx="0">
                  <c:v>-0.5</c:v>
                </c:pt>
                <c:pt idx="1">
                  <c:v>0</c:v>
                </c:pt>
                <c:pt idx="2">
                  <c:v>0.5</c:v>
                </c:pt>
                <c:pt idx="3">
                  <c:v>1</c:v>
                </c:pt>
                <c:pt idx="4">
                  <c:v>1.5</c:v>
                </c:pt>
                <c:pt idx="5">
                  <c:v>2</c:v>
                </c:pt>
                <c:pt idx="6">
                  <c:v>2.5</c:v>
                </c:pt>
                <c:pt idx="7">
                  <c:v>3</c:v>
                </c:pt>
                <c:pt idx="8">
                  <c:v>3.5</c:v>
                </c:pt>
                <c:pt idx="9">
                  <c:v>0</c:v>
                </c:pt>
                <c:pt idx="10">
                  <c:v>0</c:v>
                </c:pt>
              </c:numCache>
            </c:numRef>
          </c:xVal>
          <c:yVal>
            <c:numRef>
              <c:f>Cuisine!$M$24:$M$34</c:f>
              <c:numCache>
                <c:ptCount val="11"/>
                <c:pt idx="9">
                  <c:v>0</c:v>
                </c:pt>
              </c:numCache>
            </c:numRef>
          </c:yVal>
          <c:smooth val="0"/>
        </c:ser>
        <c:ser>
          <c:idx val="3"/>
          <c:order val="3"/>
          <c:tx>
            <c:strRef>
              <c:f>Cuisine!$N$23</c:f>
              <c:strCache>
                <c:ptCount val="1"/>
                <c:pt idx="0">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10"/>
            <c:spPr>
              <a:solidFill>
                <a:srgbClr val="FFFFFF"/>
              </a:solidFill>
              <a:ln>
                <a:solidFill>
                  <a:srgbClr val="FFFFFF"/>
                </a:solidFill>
              </a:ln>
            </c:spPr>
          </c:marker>
          <c:xVal>
            <c:numRef>
              <c:f>Cuisine!$J$24:$J$34</c:f>
              <c:numCache>
                <c:ptCount val="11"/>
                <c:pt idx="0">
                  <c:v>-0.5</c:v>
                </c:pt>
                <c:pt idx="1">
                  <c:v>0</c:v>
                </c:pt>
                <c:pt idx="2">
                  <c:v>0.5</c:v>
                </c:pt>
                <c:pt idx="3">
                  <c:v>1</c:v>
                </c:pt>
                <c:pt idx="4">
                  <c:v>1.5</c:v>
                </c:pt>
                <c:pt idx="5">
                  <c:v>2</c:v>
                </c:pt>
                <c:pt idx="6">
                  <c:v>2.5</c:v>
                </c:pt>
                <c:pt idx="7">
                  <c:v>3</c:v>
                </c:pt>
                <c:pt idx="8">
                  <c:v>3.5</c:v>
                </c:pt>
                <c:pt idx="9">
                  <c:v>0</c:v>
                </c:pt>
                <c:pt idx="10">
                  <c:v>0</c:v>
                </c:pt>
              </c:numCache>
            </c:numRef>
          </c:xVal>
          <c:yVal>
            <c:numRef>
              <c:f>Cuisine!$N$24:$N$34</c:f>
              <c:numCache>
                <c:ptCount val="11"/>
                <c:pt idx="10">
                  <c:v>0</c:v>
                </c:pt>
              </c:numCache>
            </c:numRef>
          </c:yVal>
          <c:smooth val="0"/>
        </c:ser>
        <c:axId val="63751636"/>
        <c:axId val="63608853"/>
      </c:scatterChart>
      <c:valAx>
        <c:axId val="63751636"/>
        <c:scaling>
          <c:orientation val="minMax"/>
        </c:scaling>
        <c:axPos val="b"/>
        <c:title>
          <c:tx>
            <c:rich>
              <a:bodyPr vert="horz" rot="0" anchor="ctr"/>
              <a:lstStyle/>
              <a:p>
                <a:pPr algn="ctr">
                  <a:defRPr/>
                </a:pPr>
                <a:r>
                  <a:rPr lang="en-US" cap="none" sz="900" b="1" i="0" u="none" baseline="0">
                    <a:solidFill>
                      <a:srgbClr val="000000"/>
                    </a:solidFill>
                    <a:latin typeface="Arial"/>
                    <a:ea typeface="Arial"/>
                    <a:cs typeface="Arial"/>
                  </a:rPr>
                  <a:t>Rémunération du travail
Nb de SMIC brut / UMO non salariée consacrée à l'atelier</a:t>
                </a:r>
              </a:p>
            </c:rich>
          </c:tx>
          <c:layout>
            <c:manualLayout>
              <c:xMode val="factor"/>
              <c:yMode val="factor"/>
              <c:x val="0.035"/>
              <c:y val="0.003"/>
            </c:manualLayout>
          </c:layout>
          <c:overlay val="0"/>
          <c:spPr>
            <a:noFill/>
            <a:ln>
              <a:noFill/>
            </a:ln>
          </c:spPr>
        </c:title>
        <c:majorGridlines>
          <c:spPr>
            <a:ln w="3175">
              <a:solidFill>
                <a:srgbClr val="808080"/>
              </a:solidFill>
            </a:ln>
          </c:spPr>
        </c:majorGridlines>
        <c:delete val="0"/>
        <c:numFmt formatCode="0.0" sourceLinked="0"/>
        <c:majorTickMark val="out"/>
        <c:minorTickMark val="none"/>
        <c:tickLblPos val="nextTo"/>
        <c:spPr>
          <a:ln w="3175">
            <a:solidFill>
              <a:srgbClr val="808080"/>
            </a:solidFill>
          </a:ln>
        </c:spPr>
        <c:txPr>
          <a:bodyPr vert="horz" rot="0"/>
          <a:lstStyle/>
          <a:p>
            <a:pPr>
              <a:defRPr lang="en-US" cap="none" sz="800" b="1" i="0" u="none" baseline="0">
                <a:solidFill>
                  <a:srgbClr val="000000"/>
                </a:solidFill>
                <a:latin typeface="Arial"/>
                <a:ea typeface="Arial"/>
                <a:cs typeface="Arial"/>
              </a:defRPr>
            </a:pPr>
          </a:p>
        </c:txPr>
        <c:crossAx val="63608853"/>
        <c:crossesAt val="0"/>
        <c:crossBetween val="midCat"/>
        <c:dispUnits/>
        <c:majorUnit val="13.5898403400553"/>
      </c:valAx>
      <c:valAx>
        <c:axId val="63608853"/>
        <c:scaling>
          <c:orientation val="minMax"/>
          <c:min val="100"/>
        </c:scaling>
        <c:axPos val="l"/>
        <c:title>
          <c:tx>
            <c:rich>
              <a:bodyPr vert="horz" rot="-5400000" anchor="ctr"/>
              <a:lstStyle/>
              <a:p>
                <a:pPr algn="ctr">
                  <a:defRPr/>
                </a:pPr>
                <a:r>
                  <a:rPr lang="en-US" cap="none" sz="900" b="1" i="0" u="none" baseline="0">
                    <a:solidFill>
                      <a:srgbClr val="000000"/>
                    </a:solidFill>
                    <a:latin typeface="Arial"/>
                    <a:ea typeface="Arial"/>
                    <a:cs typeface="Arial"/>
                  </a:rPr>
                  <a:t>Prix du lait [ € / 1000 litres ]</a:t>
                </a:r>
              </a:p>
            </c:rich>
          </c:tx>
          <c:layout>
            <c:manualLayout>
              <c:xMode val="factor"/>
              <c:yMode val="factor"/>
              <c:x val="-0.0105"/>
              <c:y val="-0.0055"/>
            </c:manualLayout>
          </c:layout>
          <c:overlay val="0"/>
          <c:spPr>
            <a:noFill/>
            <a:ln>
              <a:noFill/>
            </a:ln>
          </c:spPr>
        </c:title>
        <c:majorGridlines>
          <c:spPr>
            <a:ln w="3175">
              <a:solidFill>
                <a:srgbClr val="808080"/>
              </a:solidFill>
            </a:ln>
          </c:spPr>
        </c:majorGridlines>
        <c:delete val="0"/>
        <c:numFmt formatCode="0" sourceLinked="0"/>
        <c:majorTickMark val="none"/>
        <c:minorTickMark val="none"/>
        <c:tickLblPos val="low"/>
        <c:spPr>
          <a:ln w="25400">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3751636"/>
        <c:crossesAt val="0"/>
        <c:crossBetween val="midCat"/>
        <c:dispUnits/>
      </c:valAx>
      <c:spPr>
        <a:solidFill>
          <a:srgbClr val="FFFFFF"/>
        </a:solidFill>
        <a:ln w="3175">
          <a:no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825"/>
          <c:y val="0.11475"/>
          <c:w val="0.9105"/>
          <c:h val="0.79225"/>
        </c:manualLayout>
      </c:layout>
      <c:barChart>
        <c:barDir val="col"/>
        <c:grouping val="stacked"/>
        <c:varyColors val="0"/>
        <c:ser>
          <c:idx val="0"/>
          <c:order val="0"/>
          <c:tx>
            <c:strRef>
              <c:f>Cuisine!$C$4</c:f>
              <c:strCache>
                <c:ptCount val="1"/>
                <c:pt idx="0">
                  <c:v>Aliments achetés</c:v>
                </c:pt>
              </c:strCache>
            </c:strRef>
          </c:tx>
          <c:spPr>
            <a:solidFill>
              <a:srgbClr val="00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_-* #,##0&quot; €&quot;_-;\-* #,##0&quot; €&quot;_-;_-* &quot;- €&quot;_-;_-@_-" sourceLinked="0"/>
            <c:txPr>
              <a:bodyPr vert="horz" rot="0" anchor="ctr"/>
              <a:lstStyle/>
              <a:p>
                <a:pPr algn="ctr">
                  <a:defRPr lang="en-US" cap="none" sz="800" b="0" i="0" u="none" baseline="0">
                    <a:solidFill>
                      <a:srgbClr val="000000"/>
                    </a:solidFill>
                    <a:latin typeface="Arial"/>
                    <a:ea typeface="Arial"/>
                    <a:cs typeface="Arial"/>
                  </a:defRPr>
                </a:pPr>
              </a:p>
            </c:txPr>
            <c:showLegendKey val="0"/>
            <c:showVal val="1"/>
            <c:showBubbleSize val="0"/>
            <c:showCatName val="0"/>
            <c:showSerName val="0"/>
            <c:showPercent val="0"/>
          </c:dLbls>
          <c:cat>
            <c:strRef>
              <c:f>Cuisine!$D$3:$G$3</c:f>
              <c:strCache/>
            </c:strRef>
          </c:cat>
          <c:val>
            <c:numRef>
              <c:f>Cuisine!$D$4:$G$4</c:f>
              <c:numCache/>
            </c:numRef>
          </c:val>
        </c:ser>
        <c:ser>
          <c:idx val="1"/>
          <c:order val="1"/>
          <c:tx>
            <c:strRef>
              <c:f>Cuisine!$C$5</c:f>
              <c:strCache>
                <c:ptCount val="1"/>
                <c:pt idx="0">
                  <c:v>Charges surfaces</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_-* #,##0&quot; €&quot;_-;\-* #,##0&quot; €&quot;_-;_-* &quot;- €&quot;_-;_-@_-" sourceLinked="0"/>
            <c:txPr>
              <a:bodyPr vert="horz" rot="0" anchor="ctr"/>
              <a:lstStyle/>
              <a:p>
                <a:pPr algn="ctr">
                  <a:defRPr lang="en-US" cap="none" sz="800" b="0" i="0" u="none" baseline="0">
                    <a:solidFill>
                      <a:srgbClr val="000000"/>
                    </a:solidFill>
                    <a:latin typeface="Arial"/>
                    <a:ea typeface="Arial"/>
                    <a:cs typeface="Arial"/>
                  </a:defRPr>
                </a:pPr>
              </a:p>
            </c:txPr>
            <c:showLegendKey val="0"/>
            <c:showVal val="1"/>
            <c:showBubbleSize val="0"/>
            <c:showCatName val="0"/>
            <c:showSerName val="0"/>
            <c:showPercent val="0"/>
          </c:dLbls>
          <c:cat>
            <c:strRef>
              <c:f>Cuisine!$D$3:$G$3</c:f>
              <c:strCache/>
            </c:strRef>
          </c:cat>
          <c:val>
            <c:numRef>
              <c:f>Cuisine!$D$5:$G$5</c:f>
              <c:numCache/>
            </c:numRef>
          </c:val>
        </c:ser>
        <c:ser>
          <c:idx val="2"/>
          <c:order val="2"/>
          <c:tx>
            <c:strRef>
              <c:f>Cuisine!$C$6</c:f>
              <c:strCache>
                <c:ptCount val="1"/>
                <c:pt idx="0">
                  <c:v>Frais d'élevage</c:v>
                </c:pt>
              </c:strCache>
            </c:strRef>
          </c:tx>
          <c:spPr>
            <a:solidFill>
              <a:srgbClr val="7030A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_-* #,##0&quot; €&quot;_-;\-* #,##0&quot; €&quot;_-;_-* &quot;- €&quot;_-;_-@_-" sourceLinked="0"/>
            <c:txPr>
              <a:bodyPr vert="horz" rot="0" anchor="ctr"/>
              <a:lstStyle/>
              <a:p>
                <a:pPr algn="ctr">
                  <a:defRPr lang="en-US" cap="none" sz="800" b="0" i="0" u="none" baseline="0">
                    <a:solidFill>
                      <a:srgbClr val="FFFFFF"/>
                    </a:solidFill>
                    <a:latin typeface="Arial"/>
                    <a:ea typeface="Arial"/>
                    <a:cs typeface="Arial"/>
                  </a:defRPr>
                </a:pPr>
              </a:p>
            </c:txPr>
            <c:showLegendKey val="0"/>
            <c:showVal val="1"/>
            <c:showBubbleSize val="0"/>
            <c:showCatName val="0"/>
            <c:showSerName val="0"/>
            <c:showPercent val="0"/>
          </c:dLbls>
          <c:cat>
            <c:strRef>
              <c:f>Cuisine!$D$3:$G$3</c:f>
              <c:strCache/>
            </c:strRef>
          </c:cat>
          <c:val>
            <c:numRef>
              <c:f>Cuisine!$D$6:$G$6</c:f>
              <c:numCache/>
            </c:numRef>
          </c:val>
        </c:ser>
        <c:ser>
          <c:idx val="3"/>
          <c:order val="3"/>
          <c:tx>
            <c:strRef>
              <c:f>Cuisine!$C$7</c:f>
              <c:strCache>
                <c:ptCount val="1"/>
                <c:pt idx="0">
                  <c:v>Frais transfo et com.</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Cuisine!$D$3:$G$3</c:f>
              <c:strCache/>
            </c:strRef>
          </c:cat>
          <c:val>
            <c:numRef>
              <c:f>Cuisine!$D$7:$G$7</c:f>
              <c:numCache/>
            </c:numRef>
          </c:val>
        </c:ser>
        <c:ser>
          <c:idx val="4"/>
          <c:order val="4"/>
          <c:tx>
            <c:strRef>
              <c:f>Cuisine!$C$8</c:f>
              <c:strCache>
                <c:ptCount val="1"/>
                <c:pt idx="0">
                  <c:v>Frais divers de gestion</c:v>
                </c:pt>
              </c:strCache>
            </c:strRef>
          </c:tx>
          <c:spPr>
            <a:solidFill>
              <a:srgbClr val="CCFF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_-* #,##0&quot; €&quot;_-;\-* #,##0&quot; €&quot;_-;_-* &quot;- €&quot;_-;_-@_-" sourceLinked="0"/>
            <c:txPr>
              <a:bodyPr vert="horz" rot="0" anchor="ctr"/>
              <a:lstStyle/>
              <a:p>
                <a:pPr algn="ctr">
                  <a:defRPr lang="en-US" cap="none" sz="800" b="0" i="0" u="none" baseline="0">
                    <a:solidFill>
                      <a:srgbClr val="000000"/>
                    </a:solidFill>
                    <a:latin typeface="Arial"/>
                    <a:ea typeface="Arial"/>
                    <a:cs typeface="Arial"/>
                  </a:defRPr>
                </a:pPr>
              </a:p>
            </c:txPr>
            <c:showLegendKey val="0"/>
            <c:showVal val="1"/>
            <c:showBubbleSize val="0"/>
            <c:showCatName val="0"/>
            <c:showSerName val="0"/>
            <c:showPercent val="0"/>
          </c:dLbls>
          <c:cat>
            <c:strRef>
              <c:f>Cuisine!$D$3:$G$3</c:f>
              <c:strCache/>
            </c:strRef>
          </c:cat>
          <c:val>
            <c:numRef>
              <c:f>Cuisine!$D$8:$G$8</c:f>
              <c:numCache/>
            </c:numRef>
          </c:val>
        </c:ser>
        <c:ser>
          <c:idx val="5"/>
          <c:order val="5"/>
          <c:tx>
            <c:strRef>
              <c:f>Cuisine!$C$9</c:f>
              <c:strCache>
                <c:ptCount val="1"/>
                <c:pt idx="0">
                  <c:v>Mécanisation</c:v>
                </c:pt>
              </c:strCache>
            </c:strRef>
          </c:tx>
          <c:spPr>
            <a:solidFill>
              <a:srgbClr val="3366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_-* #,##0&quot; €&quot;_-;\-* #,##0&quot; €&quot;_-;_-* &quot;- €&quot;_-;_-@_-" sourceLinked="0"/>
            <c:txPr>
              <a:bodyPr vert="horz" rot="0" anchor="ctr"/>
              <a:lstStyle/>
              <a:p>
                <a:pPr algn="ctr">
                  <a:defRPr lang="en-US" cap="none" sz="800" b="0" i="0" u="none" baseline="0">
                    <a:solidFill>
                      <a:srgbClr val="FFFFFF"/>
                    </a:solidFill>
                    <a:latin typeface="Arial"/>
                    <a:ea typeface="Arial"/>
                    <a:cs typeface="Arial"/>
                  </a:defRPr>
                </a:pPr>
              </a:p>
            </c:txPr>
            <c:showLegendKey val="0"/>
            <c:showVal val="1"/>
            <c:showBubbleSize val="0"/>
            <c:showCatName val="0"/>
            <c:showSerName val="0"/>
            <c:showPercent val="0"/>
          </c:dLbls>
          <c:cat>
            <c:strRef>
              <c:f>Cuisine!$D$3:$G$3</c:f>
              <c:strCache/>
            </c:strRef>
          </c:cat>
          <c:val>
            <c:numRef>
              <c:f>Cuisine!$D$9:$G$9</c:f>
              <c:numCache/>
            </c:numRef>
          </c:val>
        </c:ser>
        <c:ser>
          <c:idx val="6"/>
          <c:order val="6"/>
          <c:tx>
            <c:strRef>
              <c:f>Cuisine!$C$10</c:f>
              <c:strCache>
                <c:ptCount val="1"/>
                <c:pt idx="0">
                  <c:v>Bâtiments</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_-* #,##0&quot; €&quot;_-;\-* #,##0&quot; €&quot;_-;_-* &quot;- €&quot;_-;_-@_-" sourceLinked="0"/>
            <c:txPr>
              <a:bodyPr vert="horz" rot="0" anchor="ctr"/>
              <a:lstStyle/>
              <a:p>
                <a:pPr algn="ctr">
                  <a:defRPr lang="en-US" cap="none" sz="800" b="0" i="0" u="none" baseline="0">
                    <a:solidFill>
                      <a:srgbClr val="FFFFFF"/>
                    </a:solidFill>
                    <a:latin typeface="Arial"/>
                    <a:ea typeface="Arial"/>
                    <a:cs typeface="Arial"/>
                  </a:defRPr>
                </a:pPr>
              </a:p>
            </c:txPr>
            <c:showLegendKey val="0"/>
            <c:showVal val="1"/>
            <c:showBubbleSize val="0"/>
            <c:showCatName val="0"/>
            <c:showSerName val="0"/>
            <c:showPercent val="0"/>
          </c:dLbls>
          <c:cat>
            <c:strRef>
              <c:f>Cuisine!$D$3:$G$3</c:f>
              <c:strCache/>
            </c:strRef>
          </c:cat>
          <c:val>
            <c:numRef>
              <c:f>Cuisine!$D$10:$G$10</c:f>
              <c:numCache/>
            </c:numRef>
          </c:val>
        </c:ser>
        <c:ser>
          <c:idx val="7"/>
          <c:order val="7"/>
          <c:tx>
            <c:strRef>
              <c:f>Cuisine!$C$11</c:f>
              <c:strCache>
                <c:ptCount val="1"/>
                <c:pt idx="0">
                  <c:v>Capital</c:v>
                </c:pt>
              </c:strCache>
            </c:strRef>
          </c:tx>
          <c:spPr>
            <a:solidFill>
              <a:srgbClr val="FF99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_-* #,##0&quot; €&quot;_-;\-* #,##0&quot; €&quot;_-;_-* &quot;- €&quot;_-;_-@_-" sourceLinked="0"/>
            <c:txPr>
              <a:bodyPr vert="horz" rot="0" anchor="ctr"/>
              <a:lstStyle/>
              <a:p>
                <a:pPr algn="ctr">
                  <a:defRPr lang="en-US" cap="none" sz="800" b="0" i="0" u="none" baseline="0">
                    <a:solidFill>
                      <a:srgbClr val="000000"/>
                    </a:solidFill>
                    <a:latin typeface="Arial"/>
                    <a:ea typeface="Arial"/>
                    <a:cs typeface="Arial"/>
                  </a:defRPr>
                </a:pPr>
              </a:p>
            </c:txPr>
            <c:showLegendKey val="0"/>
            <c:showVal val="1"/>
            <c:showBubbleSize val="0"/>
            <c:showCatName val="0"/>
            <c:showSerName val="0"/>
            <c:showPercent val="0"/>
          </c:dLbls>
          <c:cat>
            <c:strRef>
              <c:f>Cuisine!$D$3:$G$3</c:f>
              <c:strCache/>
            </c:strRef>
          </c:cat>
          <c:val>
            <c:numRef>
              <c:f>Cuisine!$D$11:$G$11</c:f>
              <c:numCache/>
            </c:numRef>
          </c:val>
        </c:ser>
        <c:ser>
          <c:idx val="8"/>
          <c:order val="8"/>
          <c:tx>
            <c:strRef>
              <c:f>Cuisine!$C$12</c:f>
              <c:strCache>
                <c:ptCount val="1"/>
                <c:pt idx="0">
                  <c:v>Travail</c:v>
                </c:pt>
              </c:strCache>
            </c:strRef>
          </c:tx>
          <c:spPr>
            <a:solidFill>
              <a:srgbClr val="FFFF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_-* #,##0&quot; €&quot;_-;\-* #,##0&quot; €&quot;_-;_-* &quot;- €&quot;_-;_-@_-" sourceLinked="0"/>
            <c:txPr>
              <a:bodyPr vert="horz" rot="0" anchor="ctr"/>
              <a:lstStyle/>
              <a:p>
                <a:pPr algn="ctr">
                  <a:defRPr lang="en-US" cap="none" sz="800" b="0" i="0" u="none" baseline="0">
                    <a:solidFill>
                      <a:srgbClr val="000000"/>
                    </a:solidFill>
                    <a:latin typeface="Arial"/>
                    <a:ea typeface="Arial"/>
                    <a:cs typeface="Arial"/>
                  </a:defRPr>
                </a:pPr>
              </a:p>
            </c:txPr>
            <c:showLegendKey val="0"/>
            <c:showVal val="1"/>
            <c:showBubbleSize val="0"/>
            <c:showCatName val="0"/>
            <c:showSerName val="0"/>
            <c:showPercent val="0"/>
          </c:dLbls>
          <c:cat>
            <c:strRef>
              <c:f>Cuisine!$D$3:$G$3</c:f>
              <c:strCache/>
            </c:strRef>
          </c:cat>
          <c:val>
            <c:numRef>
              <c:f>Cuisine!$D$12:$G$12</c:f>
              <c:numCache/>
            </c:numRef>
          </c:val>
        </c:ser>
        <c:ser>
          <c:idx val="9"/>
          <c:order val="9"/>
          <c:tx>
            <c:strRef>
              <c:f>Cuisine!$C$13</c:f>
              <c:strCache>
                <c:ptCount val="1"/>
                <c:pt idx="0">
                  <c:v>Aides totales</c:v>
                </c:pt>
              </c:strCache>
            </c:strRef>
          </c:tx>
          <c:spPr>
            <a:solidFill>
              <a:srgbClr val="66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_-* #,##0&quot; €&quot;_-;\-* #,##0&quot; €&quot;_-;_-* &quot;- €&quot;_-;_-@_-" sourceLinked="0"/>
            <c:txPr>
              <a:bodyPr vert="horz" rot="0" anchor="ctr"/>
              <a:lstStyle/>
              <a:p>
                <a:pPr algn="ctr">
                  <a:defRPr lang="en-US" cap="none" sz="800" b="0" i="0" u="none" baseline="0">
                    <a:solidFill>
                      <a:srgbClr val="000000"/>
                    </a:solidFill>
                    <a:latin typeface="Arial"/>
                    <a:ea typeface="Arial"/>
                    <a:cs typeface="Arial"/>
                  </a:defRPr>
                </a:pPr>
              </a:p>
            </c:txPr>
            <c:showLegendKey val="0"/>
            <c:showVal val="1"/>
            <c:showBubbleSize val="0"/>
            <c:showCatName val="0"/>
            <c:showSerName val="0"/>
            <c:showPercent val="0"/>
          </c:dLbls>
          <c:cat>
            <c:strRef>
              <c:f>Cuisine!$D$3:$G$3</c:f>
              <c:strCache/>
            </c:strRef>
          </c:cat>
          <c:val>
            <c:numRef>
              <c:f>Cuisine!$D$13:$G$13</c:f>
              <c:numCache/>
            </c:numRef>
          </c:val>
        </c:ser>
        <c:ser>
          <c:idx val="10"/>
          <c:order val="10"/>
          <c:tx>
            <c:strRef>
              <c:f>Cuisine!$C$14</c:f>
              <c:strCache>
                <c:ptCount val="1"/>
                <c:pt idx="0">
                  <c:v>Produits joints</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_-* #,##0&quot; €&quot;_-;\-* #,##0&quot; €&quot;_-;_-* &quot;- €&quot;_-;_-@_-" sourceLinked="0"/>
            <c:txPr>
              <a:bodyPr vert="horz" rot="0" anchor="ctr"/>
              <a:lstStyle/>
              <a:p>
                <a:pPr algn="ctr">
                  <a:defRPr lang="en-US" cap="none" sz="800" b="0" i="0" u="none" baseline="0">
                    <a:solidFill>
                      <a:srgbClr val="FFFFFF"/>
                    </a:solidFill>
                    <a:latin typeface="Arial"/>
                    <a:ea typeface="Arial"/>
                    <a:cs typeface="Arial"/>
                  </a:defRPr>
                </a:pPr>
              </a:p>
            </c:txPr>
            <c:showLegendKey val="0"/>
            <c:showVal val="1"/>
            <c:showBubbleSize val="0"/>
            <c:showCatName val="0"/>
            <c:showSerName val="0"/>
            <c:showPercent val="0"/>
          </c:dLbls>
          <c:cat>
            <c:strRef>
              <c:f>Cuisine!$D$3:$G$3</c:f>
              <c:strCache/>
            </c:strRef>
          </c:cat>
          <c:val>
            <c:numRef>
              <c:f>Cuisine!$D$14:$G$14</c:f>
              <c:numCache/>
            </c:numRef>
          </c:val>
        </c:ser>
        <c:ser>
          <c:idx val="11"/>
          <c:order val="11"/>
          <c:tx>
            <c:strRef>
              <c:f>Cuisine!$C$15</c:f>
              <c:strCache>
                <c:ptCount val="1"/>
                <c:pt idx="0">
                  <c:v>Prix du lait </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_-* #,##0&quot; €&quot;_-;\-* #,##0&quot; €&quot;_-;_-* &quot;- €&quot;_-;_-@_-" sourceLinked="0"/>
            <c:txPr>
              <a:bodyPr vert="horz" rot="0" anchor="ctr"/>
              <a:lstStyle/>
              <a:p>
                <a:pPr algn="ctr">
                  <a:defRPr lang="en-US" cap="none" sz="800" b="0" i="0" u="none" baseline="0">
                    <a:solidFill>
                      <a:srgbClr val="FFFFFF"/>
                    </a:solidFill>
                    <a:latin typeface="Arial"/>
                    <a:ea typeface="Arial"/>
                    <a:cs typeface="Arial"/>
                  </a:defRPr>
                </a:pPr>
              </a:p>
            </c:txPr>
            <c:showLegendKey val="0"/>
            <c:showVal val="1"/>
            <c:showBubbleSize val="0"/>
            <c:showCatName val="0"/>
            <c:showSerName val="0"/>
            <c:showPercent val="0"/>
          </c:dLbls>
          <c:cat>
            <c:strRef>
              <c:f>Cuisine!$D$3:$G$3</c:f>
              <c:strCache/>
            </c:strRef>
          </c:cat>
          <c:val>
            <c:numRef>
              <c:f>Cuisine!$D$15:$G$15</c:f>
              <c:numCache/>
            </c:numRef>
          </c:val>
        </c:ser>
        <c:overlap val="100"/>
        <c:gapWidth val="70"/>
        <c:axId val="52043430"/>
        <c:axId val="54768263"/>
      </c:barChart>
      <c:catAx>
        <c:axId val="52043430"/>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4768263"/>
        <c:crossesAt val="0"/>
        <c:auto val="1"/>
        <c:lblOffset val="100"/>
        <c:tickLblSkip val="1"/>
        <c:noMultiLvlLbl val="0"/>
      </c:catAx>
      <c:valAx>
        <c:axId val="54768263"/>
        <c:scaling>
          <c:orientation val="minMax"/>
          <c:min val="0"/>
        </c:scaling>
        <c:axPos val="l"/>
        <c:minorGridlines>
          <c:spPr>
            <a:ln w="3175">
              <a:solidFill>
                <a:srgbClr val="000000"/>
              </a:solidFill>
              <a:prstDash val="sysDot"/>
            </a:ln>
          </c:spPr>
        </c:minorGridlines>
        <c:delete val="0"/>
        <c:numFmt formatCode="_-* #,##0&quot; €&quot;_-;\-* #,##0&quot; €&quot;_-;_-* &quot;- €&quot;_-;_-@_-"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2043430"/>
        <c:crossesAt val="1"/>
        <c:crossBetween val="between"/>
        <c:dispUnits/>
        <c:majorUnit val="100"/>
        <c:minorUnit val="50"/>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jpeg" /><Relationship Id="rId4" Type="http://schemas.openxmlformats.org/officeDocument/2006/relationships/image" Target="../media/image4.jpe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jpeg" /><Relationship Id="rId4" Type="http://schemas.openxmlformats.org/officeDocument/2006/relationships/image" Target="../media/image4.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5.jpeg" /><Relationship Id="rId4" Type="http://schemas.openxmlformats.org/officeDocument/2006/relationships/image" Target="../media/image6.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5.jpeg" /><Relationship Id="rId4" Type="http://schemas.openxmlformats.org/officeDocument/2006/relationships/image" Target="../media/image6.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5.jpeg" /><Relationship Id="rId4" Type="http://schemas.openxmlformats.org/officeDocument/2006/relationships/image" Target="../media/image7.jpe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5.jpeg" /><Relationship Id="rId4" Type="http://schemas.openxmlformats.org/officeDocument/2006/relationships/image" Target="../media/image6.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5.jpeg" /><Relationship Id="rId4" Type="http://schemas.openxmlformats.org/officeDocument/2006/relationships/image" Target="../media/image6.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5.jpeg" /><Relationship Id="rId4" Type="http://schemas.openxmlformats.org/officeDocument/2006/relationships/image" Target="../media/image6.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5.jpeg" /><Relationship Id="rId4" Type="http://schemas.openxmlformats.org/officeDocument/2006/relationships/image" Target="../media/image6.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5.jpeg" /><Relationship Id="rId4" Type="http://schemas.openxmlformats.org/officeDocument/2006/relationships/image" Target="../media/image6.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5.jpeg" /><Relationship Id="rId4" Type="http://schemas.openxmlformats.org/officeDocument/2006/relationships/image" Target="../media/image6.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5.jpeg" /><Relationship Id="rId4" Type="http://schemas.openxmlformats.org/officeDocument/2006/relationships/image" Target="../media/image6.jpeg" /><Relationship Id="rId5"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1.png" /><Relationship Id="rId3" Type="http://schemas.openxmlformats.org/officeDocument/2006/relationships/image" Target="../media/image2.png" /><Relationship Id="rId4" Type="http://schemas.openxmlformats.org/officeDocument/2006/relationships/image" Target="../media/image5.jpeg" /><Relationship Id="rId5" Type="http://schemas.openxmlformats.org/officeDocument/2006/relationships/image" Target="../media/image7.jpeg" /></Relationships>
</file>

<file path=xl/drawings/_rels/drawing9.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image" Target="../media/image1.png" /><Relationship Id="rId3" Type="http://schemas.openxmlformats.org/officeDocument/2006/relationships/image" Target="../media/image2.png" /><Relationship Id="rId4" Type="http://schemas.openxmlformats.org/officeDocument/2006/relationships/image" Target="../media/image8.jpeg" /><Relationship Id="rId5" Type="http://schemas.openxmlformats.org/officeDocument/2006/relationships/image" Target="../media/image9.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0</xdr:row>
      <xdr:rowOff>9525</xdr:rowOff>
    </xdr:from>
    <xdr:to>
      <xdr:col>3</xdr:col>
      <xdr:colOff>381000</xdr:colOff>
      <xdr:row>1</xdr:row>
      <xdr:rowOff>238125</xdr:rowOff>
    </xdr:to>
    <xdr:sp>
      <xdr:nvSpPr>
        <xdr:cNvPr id="1" name="Rectangle 2"/>
        <xdr:cNvSpPr>
          <a:spLocks/>
        </xdr:cNvSpPr>
      </xdr:nvSpPr>
      <xdr:spPr>
        <a:xfrm>
          <a:off x="533400" y="9525"/>
          <a:ext cx="5924550" cy="609600"/>
        </a:xfrm>
        <a:prstGeom prst="rect">
          <a:avLst/>
        </a:prstGeom>
        <a:solidFill>
          <a:srgbClr val="F4C600"/>
        </a:solidFill>
        <a:ln w="9525" cmpd="sng">
          <a:noFill/>
        </a:ln>
      </xdr:spPr>
      <xdr:txBody>
        <a:bodyPr vertOverflow="clip" wrap="square" lIns="20160" tIns="20160" rIns="20160" bIns="20160" anchor="ctr"/>
        <a:p>
          <a:pPr algn="l">
            <a:defRPr/>
          </a:pPr>
          <a:r>
            <a:rPr lang="en-US" cap="none" sz="1100" b="0" i="0" u="none" baseline="0">
              <a:solidFill>
                <a:srgbClr val="000000"/>
              </a:solidFill>
              <a:latin typeface="Arial"/>
              <a:ea typeface="Arial"/>
              <a:cs typeface="Arial"/>
            </a:rPr>
            <a:t>Institut de l’Elevage – Réseaux d’élevage
</a:t>
          </a:r>
          <a:r>
            <a:rPr lang="en-US" cap="none" sz="1100" b="0" i="0" u="none" baseline="0">
              <a:solidFill>
                <a:srgbClr val="800000"/>
              </a:solidFill>
              <a:latin typeface="Arial"/>
              <a:ea typeface="Arial"/>
              <a:cs typeface="Arial"/>
            </a:rPr>
            <a:t>Utilitaire de calcul du coût de production d’un atelier  caprins</a:t>
          </a:r>
        </a:p>
      </xdr:txBody>
    </xdr:sp>
    <xdr:clientData/>
  </xdr:twoCellAnchor>
  <xdr:twoCellAnchor>
    <xdr:from>
      <xdr:col>0</xdr:col>
      <xdr:colOff>0</xdr:colOff>
      <xdr:row>0</xdr:row>
      <xdr:rowOff>0</xdr:rowOff>
    </xdr:from>
    <xdr:to>
      <xdr:col>0</xdr:col>
      <xdr:colOff>571500</xdr:colOff>
      <xdr:row>1</xdr:row>
      <xdr:rowOff>238125</xdr:rowOff>
    </xdr:to>
    <xdr:pic>
      <xdr:nvPicPr>
        <xdr:cNvPr id="2" name="Picture 9"/>
        <xdr:cNvPicPr preferRelativeResize="1">
          <a:picLocks noChangeAspect="1"/>
        </xdr:cNvPicPr>
      </xdr:nvPicPr>
      <xdr:blipFill>
        <a:blip r:embed="rId1"/>
        <a:stretch>
          <a:fillRect/>
        </a:stretch>
      </xdr:blipFill>
      <xdr:spPr>
        <a:xfrm>
          <a:off x="0" y="0"/>
          <a:ext cx="571500" cy="619125"/>
        </a:xfrm>
        <a:prstGeom prst="rect">
          <a:avLst/>
        </a:prstGeom>
        <a:blipFill>
          <a:blip r:embed=""/>
          <a:srcRect/>
          <a:stretch>
            <a:fillRect/>
          </a:stretch>
        </a:blipFill>
        <a:ln w="9525" cmpd="sng">
          <a:noFill/>
        </a:ln>
      </xdr:spPr>
    </xdr:pic>
    <xdr:clientData/>
  </xdr:twoCellAnchor>
  <xdr:twoCellAnchor>
    <xdr:from>
      <xdr:col>2</xdr:col>
      <xdr:colOff>3105150</xdr:colOff>
      <xdr:row>0</xdr:row>
      <xdr:rowOff>38100</xdr:rowOff>
    </xdr:from>
    <xdr:to>
      <xdr:col>3</xdr:col>
      <xdr:colOff>257175</xdr:colOff>
      <xdr:row>1</xdr:row>
      <xdr:rowOff>142875</xdr:rowOff>
    </xdr:to>
    <xdr:grpSp>
      <xdr:nvGrpSpPr>
        <xdr:cNvPr id="3" name="Groupe 11"/>
        <xdr:cNvGrpSpPr>
          <a:grpSpLocks/>
        </xdr:cNvGrpSpPr>
      </xdr:nvGrpSpPr>
      <xdr:grpSpPr>
        <a:xfrm>
          <a:off x="4772025" y="38100"/>
          <a:ext cx="1562100" cy="485775"/>
          <a:chOff x="7944" y="61"/>
          <a:chExt cx="2601" cy="762"/>
        </a:xfrm>
        <a:solidFill>
          <a:srgbClr val="FFFFFF"/>
        </a:solidFill>
      </xdr:grpSpPr>
      <xdr:pic>
        <xdr:nvPicPr>
          <xdr:cNvPr id="4" name="Picture 4"/>
          <xdr:cNvPicPr preferRelativeResize="1">
            <a:picLocks noChangeAspect="1"/>
          </xdr:cNvPicPr>
        </xdr:nvPicPr>
        <xdr:blipFill>
          <a:blip r:embed="rId2"/>
          <a:stretch>
            <a:fillRect/>
          </a:stretch>
        </xdr:blipFill>
        <xdr:spPr>
          <a:xfrm>
            <a:off x="9985" y="65"/>
            <a:ext cx="560" cy="750"/>
          </a:xfrm>
          <a:prstGeom prst="rect">
            <a:avLst/>
          </a:prstGeom>
          <a:blipFill>
            <a:blip r:embed=""/>
            <a:srcRect/>
            <a:stretch>
              <a:fillRect/>
            </a:stretch>
          </a:blipFill>
          <a:ln w="9525" cmpd="sng">
            <a:noFill/>
          </a:ln>
        </xdr:spPr>
      </xdr:pic>
      <xdr:pic>
        <xdr:nvPicPr>
          <xdr:cNvPr id="5" name="Picture 5"/>
          <xdr:cNvPicPr preferRelativeResize="1">
            <a:picLocks noChangeAspect="1"/>
          </xdr:cNvPicPr>
        </xdr:nvPicPr>
        <xdr:blipFill>
          <a:blip r:embed="rId3"/>
          <a:stretch>
            <a:fillRect/>
          </a:stretch>
        </xdr:blipFill>
        <xdr:spPr>
          <a:xfrm>
            <a:off x="7944" y="61"/>
            <a:ext cx="563" cy="758"/>
          </a:xfrm>
          <a:prstGeom prst="rect">
            <a:avLst/>
          </a:prstGeom>
          <a:blipFill>
            <a:blip r:embed=""/>
            <a:srcRect/>
            <a:stretch>
              <a:fillRect/>
            </a:stretch>
          </a:blipFill>
          <a:ln w="9525" cmpd="sng">
            <a:noFill/>
          </a:ln>
        </xdr:spPr>
      </xdr:pic>
      <xdr:pic>
        <xdr:nvPicPr>
          <xdr:cNvPr id="6" name="Image 10"/>
          <xdr:cNvPicPr preferRelativeResize="1">
            <a:picLocks noChangeAspect="1"/>
          </xdr:cNvPicPr>
        </xdr:nvPicPr>
        <xdr:blipFill>
          <a:blip r:embed="rId4"/>
          <a:stretch>
            <a:fillRect/>
          </a:stretch>
        </xdr:blipFill>
        <xdr:spPr>
          <a:xfrm>
            <a:off x="8787" y="61"/>
            <a:ext cx="924" cy="762"/>
          </a:xfrm>
          <a:prstGeom prst="rect">
            <a:avLst/>
          </a:prstGeom>
          <a:blipFill>
            <a:blip r:embed=""/>
            <a:srcRect/>
            <a:stretch>
              <a:fillRect/>
            </a:stretch>
          </a:blipFill>
          <a:ln w="9525" cmpd="sng">
            <a:noFill/>
          </a:ln>
        </xdr:spPr>
      </xdr:pic>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57150</xdr:colOff>
      <xdr:row>1</xdr:row>
      <xdr:rowOff>66675</xdr:rowOff>
    </xdr:from>
    <xdr:to>
      <xdr:col>25</xdr:col>
      <xdr:colOff>561975</xdr:colOff>
      <xdr:row>22</xdr:row>
      <xdr:rowOff>38100</xdr:rowOff>
    </xdr:to>
    <xdr:graphicFrame>
      <xdr:nvGraphicFramePr>
        <xdr:cNvPr id="1" name="Graphique 1"/>
        <xdr:cNvGraphicFramePr/>
      </xdr:nvGraphicFramePr>
      <xdr:xfrm>
        <a:off x="16735425" y="266700"/>
        <a:ext cx="3552825" cy="337185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16</xdr:row>
      <xdr:rowOff>47625</xdr:rowOff>
    </xdr:from>
    <xdr:to>
      <xdr:col>1</xdr:col>
      <xdr:colOff>228600</xdr:colOff>
      <xdr:row>17</xdr:row>
      <xdr:rowOff>123825</xdr:rowOff>
    </xdr:to>
    <xdr:sp fLocksText="0">
      <xdr:nvSpPr>
        <xdr:cNvPr id="1" name="ZoneTexte 1"/>
        <xdr:cNvSpPr txBox="1">
          <a:spLocks noChangeArrowheads="1"/>
        </xdr:cNvSpPr>
      </xdr:nvSpPr>
      <xdr:spPr>
        <a:xfrm>
          <a:off x="2943225" y="2705100"/>
          <a:ext cx="1809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8</xdr:row>
      <xdr:rowOff>47625</xdr:rowOff>
    </xdr:from>
    <xdr:to>
      <xdr:col>1</xdr:col>
      <xdr:colOff>866775</xdr:colOff>
      <xdr:row>9</xdr:row>
      <xdr:rowOff>142875</xdr:rowOff>
    </xdr:to>
    <xdr:sp fLocksText="0">
      <xdr:nvSpPr>
        <xdr:cNvPr id="2" name="ZoneTexte 2"/>
        <xdr:cNvSpPr txBox="1">
          <a:spLocks noChangeArrowheads="1"/>
        </xdr:cNvSpPr>
      </xdr:nvSpPr>
      <xdr:spPr>
        <a:xfrm>
          <a:off x="3571875" y="1409700"/>
          <a:ext cx="1905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2486025</xdr:colOff>
      <xdr:row>8</xdr:row>
      <xdr:rowOff>0</xdr:rowOff>
    </xdr:from>
    <xdr:to>
      <xdr:col>1</xdr:col>
      <xdr:colOff>2800350</xdr:colOff>
      <xdr:row>9</xdr:row>
      <xdr:rowOff>76200</xdr:rowOff>
    </xdr:to>
    <xdr:sp fLocksText="0">
      <xdr:nvSpPr>
        <xdr:cNvPr id="1" name="ZoneTexte 1"/>
        <xdr:cNvSpPr txBox="1">
          <a:spLocks noChangeArrowheads="1"/>
        </xdr:cNvSpPr>
      </xdr:nvSpPr>
      <xdr:spPr>
        <a:xfrm>
          <a:off x="3533775" y="2695575"/>
          <a:ext cx="314325"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8</xdr:row>
      <xdr:rowOff>0</xdr:rowOff>
    </xdr:from>
    <xdr:to>
      <xdr:col>5</xdr:col>
      <xdr:colOff>180975</xdr:colOff>
      <xdr:row>9</xdr:row>
      <xdr:rowOff>76200</xdr:rowOff>
    </xdr:to>
    <xdr:sp fLocksText="0">
      <xdr:nvSpPr>
        <xdr:cNvPr id="2" name="ZoneTexte 2"/>
        <xdr:cNvSpPr txBox="1">
          <a:spLocks noChangeArrowheads="1"/>
        </xdr:cNvSpPr>
      </xdr:nvSpPr>
      <xdr:spPr>
        <a:xfrm>
          <a:off x="9363075" y="2695575"/>
          <a:ext cx="180975"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8</xdr:row>
      <xdr:rowOff>0</xdr:rowOff>
    </xdr:from>
    <xdr:to>
      <xdr:col>5</xdr:col>
      <xdr:colOff>180975</xdr:colOff>
      <xdr:row>9</xdr:row>
      <xdr:rowOff>76200</xdr:rowOff>
    </xdr:to>
    <xdr:sp fLocksText="0">
      <xdr:nvSpPr>
        <xdr:cNvPr id="3" name="ZoneTexte 3"/>
        <xdr:cNvSpPr txBox="1">
          <a:spLocks noChangeArrowheads="1"/>
        </xdr:cNvSpPr>
      </xdr:nvSpPr>
      <xdr:spPr>
        <a:xfrm>
          <a:off x="9363075" y="2695575"/>
          <a:ext cx="180975"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3</xdr:col>
      <xdr:colOff>1323975</xdr:colOff>
      <xdr:row>1</xdr:row>
      <xdr:rowOff>57150</xdr:rowOff>
    </xdr:to>
    <xdr:grpSp>
      <xdr:nvGrpSpPr>
        <xdr:cNvPr id="4" name="Groupe 16"/>
        <xdr:cNvGrpSpPr>
          <a:grpSpLocks/>
        </xdr:cNvGrpSpPr>
      </xdr:nvGrpSpPr>
      <xdr:grpSpPr>
        <a:xfrm>
          <a:off x="0" y="0"/>
          <a:ext cx="7791450" cy="619125"/>
          <a:chOff x="0" y="0"/>
          <a:chExt cx="12971" cy="970"/>
        </a:xfrm>
        <a:solidFill>
          <a:srgbClr val="FFFFFF"/>
        </a:solidFill>
      </xdr:grpSpPr>
      <xdr:sp>
        <xdr:nvSpPr>
          <xdr:cNvPr id="5" name="Rectangle 4"/>
          <xdr:cNvSpPr>
            <a:spLocks/>
          </xdr:cNvSpPr>
        </xdr:nvSpPr>
        <xdr:spPr>
          <a:xfrm>
            <a:off x="889" y="15"/>
            <a:ext cx="12082" cy="955"/>
          </a:xfrm>
          <a:prstGeom prst="rect">
            <a:avLst/>
          </a:prstGeom>
          <a:solidFill>
            <a:srgbClr val="F4C600"/>
          </a:solidFill>
          <a:ln w="9525" cmpd="sng">
            <a:noFill/>
          </a:ln>
        </xdr:spPr>
        <xdr:txBody>
          <a:bodyPr vertOverflow="clip" wrap="square" lIns="20160" tIns="20160" rIns="20160" bIns="20160" anchor="ctr"/>
          <a:p>
            <a:pPr algn="l">
              <a:defRPr/>
            </a:pPr>
            <a:r>
              <a:rPr lang="en-US" cap="none" sz="1100" b="0" i="0" u="none" baseline="0">
                <a:solidFill>
                  <a:srgbClr val="000000"/>
                </a:solidFill>
                <a:latin typeface="Arial"/>
                <a:ea typeface="Arial"/>
                <a:cs typeface="Arial"/>
              </a:rPr>
              <a:t>Institut de l’Elevage – Réseaux d’élevage
</a:t>
            </a:r>
            <a:r>
              <a:rPr lang="en-US" cap="none" sz="1100" b="0" i="0" u="none" baseline="0">
                <a:solidFill>
                  <a:srgbClr val="800000"/>
                </a:solidFill>
                <a:latin typeface="Arial"/>
                <a:ea typeface="Arial"/>
                <a:cs typeface="Arial"/>
              </a:rPr>
              <a:t>Utilitaire de calcul du coût de production d’un atelier CAPRINS</a:t>
            </a:r>
          </a:p>
        </xdr:txBody>
      </xdr:sp>
      <xdr:pic>
        <xdr:nvPicPr>
          <xdr:cNvPr id="6" name="Picture 9"/>
          <xdr:cNvPicPr preferRelativeResize="1">
            <a:picLocks noChangeAspect="1"/>
          </xdr:cNvPicPr>
        </xdr:nvPicPr>
        <xdr:blipFill>
          <a:blip r:embed="rId1"/>
          <a:stretch>
            <a:fillRect/>
          </a:stretch>
        </xdr:blipFill>
        <xdr:spPr>
          <a:xfrm>
            <a:off x="0" y="0"/>
            <a:ext cx="924" cy="970"/>
          </a:xfrm>
          <a:prstGeom prst="rect">
            <a:avLst/>
          </a:prstGeom>
          <a:blipFill>
            <a:blip r:embed=""/>
            <a:srcRect/>
            <a:stretch>
              <a:fillRect/>
            </a:stretch>
          </a:blipFill>
          <a:ln w="9525" cmpd="sng">
            <a:noFill/>
          </a:ln>
        </xdr:spPr>
      </xdr:pic>
      <xdr:grpSp>
        <xdr:nvGrpSpPr>
          <xdr:cNvPr id="7" name="Groupe 11"/>
          <xdr:cNvGrpSpPr>
            <a:grpSpLocks/>
          </xdr:cNvGrpSpPr>
        </xdr:nvGrpSpPr>
        <xdr:grpSpPr>
          <a:xfrm>
            <a:off x="10286" y="90"/>
            <a:ext cx="2572" cy="738"/>
            <a:chOff x="10287" y="90"/>
            <a:chExt cx="2573" cy="738"/>
          </a:xfrm>
          <a:solidFill>
            <a:srgbClr val="FFFFFF"/>
          </a:solidFill>
        </xdr:grpSpPr>
        <xdr:pic>
          <xdr:nvPicPr>
            <xdr:cNvPr id="8" name="Picture 4"/>
            <xdr:cNvPicPr preferRelativeResize="1">
              <a:picLocks noChangeAspect="1"/>
            </xdr:cNvPicPr>
          </xdr:nvPicPr>
          <xdr:blipFill>
            <a:blip r:embed="rId2"/>
            <a:stretch>
              <a:fillRect/>
            </a:stretch>
          </xdr:blipFill>
          <xdr:spPr>
            <a:xfrm>
              <a:off x="12299" y="91"/>
              <a:ext cx="560" cy="726"/>
            </a:xfrm>
            <a:prstGeom prst="rect">
              <a:avLst/>
            </a:prstGeom>
            <a:blipFill>
              <a:blip r:embed=""/>
              <a:srcRect/>
              <a:stretch>
                <a:fillRect/>
              </a:stretch>
            </a:blipFill>
            <a:ln w="9525" cmpd="sng">
              <a:noFill/>
            </a:ln>
          </xdr:spPr>
        </xdr:pic>
        <xdr:pic>
          <xdr:nvPicPr>
            <xdr:cNvPr id="9" name="Picture 5"/>
            <xdr:cNvPicPr preferRelativeResize="1">
              <a:picLocks noChangeAspect="1"/>
            </xdr:cNvPicPr>
          </xdr:nvPicPr>
          <xdr:blipFill>
            <a:blip r:embed="rId3"/>
            <a:stretch>
              <a:fillRect/>
            </a:stretch>
          </xdr:blipFill>
          <xdr:spPr>
            <a:xfrm>
              <a:off x="10287" y="90"/>
              <a:ext cx="561" cy="733"/>
            </a:xfrm>
            <a:prstGeom prst="rect">
              <a:avLst/>
            </a:prstGeom>
            <a:blipFill>
              <a:blip r:embed=""/>
              <a:srcRect/>
              <a:stretch>
                <a:fillRect/>
              </a:stretch>
            </a:blipFill>
            <a:ln w="9525" cmpd="sng">
              <a:noFill/>
            </a:ln>
          </xdr:spPr>
        </xdr:pic>
        <xdr:pic>
          <xdr:nvPicPr>
            <xdr:cNvPr id="10" name="Image 10"/>
            <xdr:cNvPicPr preferRelativeResize="1">
              <a:picLocks noChangeAspect="1"/>
            </xdr:cNvPicPr>
          </xdr:nvPicPr>
          <xdr:blipFill>
            <a:blip r:embed="rId4"/>
            <a:stretch>
              <a:fillRect/>
            </a:stretch>
          </xdr:blipFill>
          <xdr:spPr>
            <a:xfrm>
              <a:off x="11127" y="90"/>
              <a:ext cx="923" cy="737"/>
            </a:xfrm>
            <a:prstGeom prst="rect">
              <a:avLst/>
            </a:prstGeom>
            <a:blipFill>
              <a:blip r:embed=""/>
              <a:srcRect/>
              <a:stretch>
                <a:fillRect/>
              </a:stretch>
            </a:blipFill>
            <a:ln w="9525" cmpd="sng">
              <a:noFill/>
            </a:ln>
          </xdr:spPr>
        </xdr:pic>
      </xdr:grpSp>
    </xdr:grpSp>
    <xdr:clientData/>
  </xdr:twoCellAnchor>
  <xdr:twoCellAnchor>
    <xdr:from>
      <xdr:col>4</xdr:col>
      <xdr:colOff>1057275</xdr:colOff>
      <xdr:row>8</xdr:row>
      <xdr:rowOff>0</xdr:rowOff>
    </xdr:from>
    <xdr:to>
      <xdr:col>4</xdr:col>
      <xdr:colOff>1276350</xdr:colOff>
      <xdr:row>9</xdr:row>
      <xdr:rowOff>76200</xdr:rowOff>
    </xdr:to>
    <xdr:sp fLocksText="0">
      <xdr:nvSpPr>
        <xdr:cNvPr id="11" name="ZoneTexte 10"/>
        <xdr:cNvSpPr txBox="1">
          <a:spLocks noChangeArrowheads="1"/>
        </xdr:cNvSpPr>
      </xdr:nvSpPr>
      <xdr:spPr>
        <a:xfrm>
          <a:off x="8972550" y="2695575"/>
          <a:ext cx="219075"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1057275</xdr:colOff>
      <xdr:row>8</xdr:row>
      <xdr:rowOff>0</xdr:rowOff>
    </xdr:from>
    <xdr:to>
      <xdr:col>4</xdr:col>
      <xdr:colOff>1276350</xdr:colOff>
      <xdr:row>9</xdr:row>
      <xdr:rowOff>76200</xdr:rowOff>
    </xdr:to>
    <xdr:sp fLocksText="0">
      <xdr:nvSpPr>
        <xdr:cNvPr id="12" name="ZoneTexte 11"/>
        <xdr:cNvSpPr txBox="1">
          <a:spLocks noChangeArrowheads="1"/>
        </xdr:cNvSpPr>
      </xdr:nvSpPr>
      <xdr:spPr>
        <a:xfrm>
          <a:off x="8972550" y="2695575"/>
          <a:ext cx="219075"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8</xdr:row>
      <xdr:rowOff>0</xdr:rowOff>
    </xdr:from>
    <xdr:to>
      <xdr:col>5</xdr:col>
      <xdr:colOff>180975</xdr:colOff>
      <xdr:row>9</xdr:row>
      <xdr:rowOff>76200</xdr:rowOff>
    </xdr:to>
    <xdr:sp fLocksText="0">
      <xdr:nvSpPr>
        <xdr:cNvPr id="13" name="ZoneTexte 12"/>
        <xdr:cNvSpPr txBox="1">
          <a:spLocks noChangeArrowheads="1"/>
        </xdr:cNvSpPr>
      </xdr:nvSpPr>
      <xdr:spPr>
        <a:xfrm>
          <a:off x="9363075" y="2695575"/>
          <a:ext cx="180975"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8</xdr:row>
      <xdr:rowOff>0</xdr:rowOff>
    </xdr:from>
    <xdr:to>
      <xdr:col>5</xdr:col>
      <xdr:colOff>180975</xdr:colOff>
      <xdr:row>9</xdr:row>
      <xdr:rowOff>76200</xdr:rowOff>
    </xdr:to>
    <xdr:sp fLocksText="0">
      <xdr:nvSpPr>
        <xdr:cNvPr id="14" name="ZoneTexte 13"/>
        <xdr:cNvSpPr txBox="1">
          <a:spLocks noChangeArrowheads="1"/>
        </xdr:cNvSpPr>
      </xdr:nvSpPr>
      <xdr:spPr>
        <a:xfrm>
          <a:off x="9363075" y="2695575"/>
          <a:ext cx="180975"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14</xdr:row>
      <xdr:rowOff>47625</xdr:rowOff>
    </xdr:from>
    <xdr:to>
      <xdr:col>9</xdr:col>
      <xdr:colOff>180975</xdr:colOff>
      <xdr:row>15</xdr:row>
      <xdr:rowOff>152400</xdr:rowOff>
    </xdr:to>
    <xdr:sp fLocksText="0">
      <xdr:nvSpPr>
        <xdr:cNvPr id="15" name="ZoneTexte 14"/>
        <xdr:cNvSpPr txBox="1">
          <a:spLocks noChangeArrowheads="1"/>
        </xdr:cNvSpPr>
      </xdr:nvSpPr>
      <xdr:spPr>
        <a:xfrm>
          <a:off x="15154275" y="3800475"/>
          <a:ext cx="180975"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47625</xdr:rowOff>
    </xdr:from>
    <xdr:to>
      <xdr:col>9</xdr:col>
      <xdr:colOff>180975</xdr:colOff>
      <xdr:row>12</xdr:row>
      <xdr:rowOff>152400</xdr:rowOff>
    </xdr:to>
    <xdr:sp fLocksText="0">
      <xdr:nvSpPr>
        <xdr:cNvPr id="16" name="ZoneTexte 15"/>
        <xdr:cNvSpPr txBox="1">
          <a:spLocks noChangeArrowheads="1"/>
        </xdr:cNvSpPr>
      </xdr:nvSpPr>
      <xdr:spPr>
        <a:xfrm>
          <a:off x="15154275" y="3314700"/>
          <a:ext cx="180975"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1057275</xdr:colOff>
      <xdr:row>8</xdr:row>
      <xdr:rowOff>0</xdr:rowOff>
    </xdr:from>
    <xdr:to>
      <xdr:col>4</xdr:col>
      <xdr:colOff>1276350</xdr:colOff>
      <xdr:row>9</xdr:row>
      <xdr:rowOff>76200</xdr:rowOff>
    </xdr:to>
    <xdr:sp fLocksText="0">
      <xdr:nvSpPr>
        <xdr:cNvPr id="17" name="ZoneTexte 17"/>
        <xdr:cNvSpPr txBox="1">
          <a:spLocks noChangeArrowheads="1"/>
        </xdr:cNvSpPr>
      </xdr:nvSpPr>
      <xdr:spPr>
        <a:xfrm>
          <a:off x="8972550" y="2695575"/>
          <a:ext cx="219075"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1057275</xdr:colOff>
      <xdr:row>8</xdr:row>
      <xdr:rowOff>0</xdr:rowOff>
    </xdr:from>
    <xdr:to>
      <xdr:col>4</xdr:col>
      <xdr:colOff>1276350</xdr:colOff>
      <xdr:row>9</xdr:row>
      <xdr:rowOff>76200</xdr:rowOff>
    </xdr:to>
    <xdr:sp fLocksText="0">
      <xdr:nvSpPr>
        <xdr:cNvPr id="18" name="ZoneTexte 18"/>
        <xdr:cNvSpPr txBox="1">
          <a:spLocks noChangeArrowheads="1"/>
        </xdr:cNvSpPr>
      </xdr:nvSpPr>
      <xdr:spPr>
        <a:xfrm>
          <a:off x="8972550" y="2695575"/>
          <a:ext cx="219075"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1047750</xdr:colOff>
      <xdr:row>8</xdr:row>
      <xdr:rowOff>0</xdr:rowOff>
    </xdr:from>
    <xdr:to>
      <xdr:col>3</xdr:col>
      <xdr:colOff>1228725</xdr:colOff>
      <xdr:row>9</xdr:row>
      <xdr:rowOff>76200</xdr:rowOff>
    </xdr:to>
    <xdr:sp fLocksText="0">
      <xdr:nvSpPr>
        <xdr:cNvPr id="19" name="ZoneTexte 19"/>
        <xdr:cNvSpPr txBox="1">
          <a:spLocks noChangeArrowheads="1"/>
        </xdr:cNvSpPr>
      </xdr:nvSpPr>
      <xdr:spPr>
        <a:xfrm>
          <a:off x="7515225" y="2695575"/>
          <a:ext cx="180975"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1047750</xdr:colOff>
      <xdr:row>8</xdr:row>
      <xdr:rowOff>0</xdr:rowOff>
    </xdr:from>
    <xdr:to>
      <xdr:col>3</xdr:col>
      <xdr:colOff>1228725</xdr:colOff>
      <xdr:row>9</xdr:row>
      <xdr:rowOff>76200</xdr:rowOff>
    </xdr:to>
    <xdr:sp fLocksText="0">
      <xdr:nvSpPr>
        <xdr:cNvPr id="20" name="ZoneTexte 20"/>
        <xdr:cNvSpPr txBox="1">
          <a:spLocks noChangeArrowheads="1"/>
        </xdr:cNvSpPr>
      </xdr:nvSpPr>
      <xdr:spPr>
        <a:xfrm>
          <a:off x="7515225" y="2695575"/>
          <a:ext cx="180975"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1057275</xdr:colOff>
      <xdr:row>8</xdr:row>
      <xdr:rowOff>0</xdr:rowOff>
    </xdr:from>
    <xdr:to>
      <xdr:col>4</xdr:col>
      <xdr:colOff>1276350</xdr:colOff>
      <xdr:row>9</xdr:row>
      <xdr:rowOff>76200</xdr:rowOff>
    </xdr:to>
    <xdr:sp fLocksText="0">
      <xdr:nvSpPr>
        <xdr:cNvPr id="21" name="ZoneTexte 21"/>
        <xdr:cNvSpPr txBox="1">
          <a:spLocks noChangeArrowheads="1"/>
        </xdr:cNvSpPr>
      </xdr:nvSpPr>
      <xdr:spPr>
        <a:xfrm>
          <a:off x="8972550" y="2695575"/>
          <a:ext cx="219075"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1057275</xdr:colOff>
      <xdr:row>8</xdr:row>
      <xdr:rowOff>0</xdr:rowOff>
    </xdr:from>
    <xdr:to>
      <xdr:col>4</xdr:col>
      <xdr:colOff>1276350</xdr:colOff>
      <xdr:row>9</xdr:row>
      <xdr:rowOff>76200</xdr:rowOff>
    </xdr:to>
    <xdr:sp fLocksText="0">
      <xdr:nvSpPr>
        <xdr:cNvPr id="22" name="ZoneTexte 22"/>
        <xdr:cNvSpPr txBox="1">
          <a:spLocks noChangeArrowheads="1"/>
        </xdr:cNvSpPr>
      </xdr:nvSpPr>
      <xdr:spPr>
        <a:xfrm>
          <a:off x="8972550" y="2695575"/>
          <a:ext cx="219075"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8</xdr:row>
      <xdr:rowOff>0</xdr:rowOff>
    </xdr:from>
    <xdr:to>
      <xdr:col>5</xdr:col>
      <xdr:colOff>180975</xdr:colOff>
      <xdr:row>9</xdr:row>
      <xdr:rowOff>76200</xdr:rowOff>
    </xdr:to>
    <xdr:sp fLocksText="0">
      <xdr:nvSpPr>
        <xdr:cNvPr id="23" name="ZoneTexte 23"/>
        <xdr:cNvSpPr txBox="1">
          <a:spLocks noChangeArrowheads="1"/>
        </xdr:cNvSpPr>
      </xdr:nvSpPr>
      <xdr:spPr>
        <a:xfrm>
          <a:off x="9363075" y="2695575"/>
          <a:ext cx="180975"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8</xdr:row>
      <xdr:rowOff>0</xdr:rowOff>
    </xdr:from>
    <xdr:to>
      <xdr:col>5</xdr:col>
      <xdr:colOff>180975</xdr:colOff>
      <xdr:row>9</xdr:row>
      <xdr:rowOff>76200</xdr:rowOff>
    </xdr:to>
    <xdr:sp fLocksText="0">
      <xdr:nvSpPr>
        <xdr:cNvPr id="24" name="ZoneTexte 24"/>
        <xdr:cNvSpPr txBox="1">
          <a:spLocks noChangeArrowheads="1"/>
        </xdr:cNvSpPr>
      </xdr:nvSpPr>
      <xdr:spPr>
        <a:xfrm>
          <a:off x="9363075" y="2695575"/>
          <a:ext cx="180975"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8</xdr:row>
      <xdr:rowOff>0</xdr:rowOff>
    </xdr:from>
    <xdr:to>
      <xdr:col>5</xdr:col>
      <xdr:colOff>180975</xdr:colOff>
      <xdr:row>9</xdr:row>
      <xdr:rowOff>76200</xdr:rowOff>
    </xdr:to>
    <xdr:sp fLocksText="0">
      <xdr:nvSpPr>
        <xdr:cNvPr id="25" name="ZoneTexte 25"/>
        <xdr:cNvSpPr txBox="1">
          <a:spLocks noChangeArrowheads="1"/>
        </xdr:cNvSpPr>
      </xdr:nvSpPr>
      <xdr:spPr>
        <a:xfrm>
          <a:off x="9363075" y="2695575"/>
          <a:ext cx="180975"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8</xdr:row>
      <xdr:rowOff>0</xdr:rowOff>
    </xdr:from>
    <xdr:to>
      <xdr:col>5</xdr:col>
      <xdr:colOff>180975</xdr:colOff>
      <xdr:row>9</xdr:row>
      <xdr:rowOff>76200</xdr:rowOff>
    </xdr:to>
    <xdr:sp fLocksText="0">
      <xdr:nvSpPr>
        <xdr:cNvPr id="26" name="ZoneTexte 26"/>
        <xdr:cNvSpPr txBox="1">
          <a:spLocks noChangeArrowheads="1"/>
        </xdr:cNvSpPr>
      </xdr:nvSpPr>
      <xdr:spPr>
        <a:xfrm>
          <a:off x="9363075" y="2695575"/>
          <a:ext cx="180975"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8</xdr:row>
      <xdr:rowOff>0</xdr:rowOff>
    </xdr:from>
    <xdr:to>
      <xdr:col>5</xdr:col>
      <xdr:colOff>180975</xdr:colOff>
      <xdr:row>9</xdr:row>
      <xdr:rowOff>76200</xdr:rowOff>
    </xdr:to>
    <xdr:sp fLocksText="0">
      <xdr:nvSpPr>
        <xdr:cNvPr id="27" name="ZoneTexte 27"/>
        <xdr:cNvSpPr txBox="1">
          <a:spLocks noChangeArrowheads="1"/>
        </xdr:cNvSpPr>
      </xdr:nvSpPr>
      <xdr:spPr>
        <a:xfrm>
          <a:off x="9363075" y="2695575"/>
          <a:ext cx="180975"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8</xdr:row>
      <xdr:rowOff>0</xdr:rowOff>
    </xdr:from>
    <xdr:to>
      <xdr:col>5</xdr:col>
      <xdr:colOff>180975</xdr:colOff>
      <xdr:row>9</xdr:row>
      <xdr:rowOff>76200</xdr:rowOff>
    </xdr:to>
    <xdr:sp fLocksText="0">
      <xdr:nvSpPr>
        <xdr:cNvPr id="28" name="ZoneTexte 28"/>
        <xdr:cNvSpPr txBox="1">
          <a:spLocks noChangeArrowheads="1"/>
        </xdr:cNvSpPr>
      </xdr:nvSpPr>
      <xdr:spPr>
        <a:xfrm>
          <a:off x="9363075" y="2695575"/>
          <a:ext cx="180975"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18</xdr:row>
      <xdr:rowOff>47625</xdr:rowOff>
    </xdr:from>
    <xdr:to>
      <xdr:col>0</xdr:col>
      <xdr:colOff>180975</xdr:colOff>
      <xdr:row>19</xdr:row>
      <xdr:rowOff>142875</xdr:rowOff>
    </xdr:to>
    <xdr:sp fLocksText="0">
      <xdr:nvSpPr>
        <xdr:cNvPr id="29" name="ZoneTexte 29"/>
        <xdr:cNvSpPr txBox="1">
          <a:spLocks noChangeArrowheads="1"/>
        </xdr:cNvSpPr>
      </xdr:nvSpPr>
      <xdr:spPr>
        <a:xfrm>
          <a:off x="0" y="4448175"/>
          <a:ext cx="180975"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11</xdr:row>
      <xdr:rowOff>47625</xdr:rowOff>
    </xdr:from>
    <xdr:to>
      <xdr:col>0</xdr:col>
      <xdr:colOff>180975</xdr:colOff>
      <xdr:row>12</xdr:row>
      <xdr:rowOff>152400</xdr:rowOff>
    </xdr:to>
    <xdr:sp fLocksText="0">
      <xdr:nvSpPr>
        <xdr:cNvPr id="30" name="ZoneTexte 30"/>
        <xdr:cNvSpPr txBox="1">
          <a:spLocks noChangeArrowheads="1"/>
        </xdr:cNvSpPr>
      </xdr:nvSpPr>
      <xdr:spPr>
        <a:xfrm>
          <a:off x="0" y="3314700"/>
          <a:ext cx="180975"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8</xdr:col>
      <xdr:colOff>590550</xdr:colOff>
      <xdr:row>1</xdr:row>
      <xdr:rowOff>228600</xdr:rowOff>
    </xdr:to>
    <xdr:grpSp>
      <xdr:nvGrpSpPr>
        <xdr:cNvPr id="1" name="Groupe 17"/>
        <xdr:cNvGrpSpPr>
          <a:grpSpLocks/>
        </xdr:cNvGrpSpPr>
      </xdr:nvGrpSpPr>
      <xdr:grpSpPr>
        <a:xfrm>
          <a:off x="0" y="0"/>
          <a:ext cx="6953250" cy="609600"/>
          <a:chOff x="0" y="0"/>
          <a:chExt cx="11576" cy="957"/>
        </a:xfrm>
        <a:solidFill>
          <a:srgbClr val="FFFFFF"/>
        </a:solidFill>
      </xdr:grpSpPr>
      <xdr:sp>
        <xdr:nvSpPr>
          <xdr:cNvPr id="2" name="Rectangle 11"/>
          <xdr:cNvSpPr>
            <a:spLocks/>
          </xdr:cNvSpPr>
        </xdr:nvSpPr>
        <xdr:spPr>
          <a:xfrm>
            <a:off x="888" y="15"/>
            <a:ext cx="10688" cy="942"/>
          </a:xfrm>
          <a:prstGeom prst="rect">
            <a:avLst/>
          </a:prstGeom>
          <a:solidFill>
            <a:srgbClr val="F4C600"/>
          </a:solidFill>
          <a:ln w="9525" cmpd="sng">
            <a:noFill/>
          </a:ln>
        </xdr:spPr>
        <xdr:txBody>
          <a:bodyPr vertOverflow="clip" wrap="square" lIns="20160" tIns="20160" rIns="20160" bIns="20160" anchor="ctr"/>
          <a:p>
            <a:pPr algn="l">
              <a:defRPr/>
            </a:pPr>
            <a:r>
              <a:rPr lang="en-US" cap="none" sz="1100" b="0" i="0" u="none" baseline="0">
                <a:solidFill>
                  <a:srgbClr val="000000"/>
                </a:solidFill>
                <a:latin typeface="Arial"/>
                <a:ea typeface="Arial"/>
                <a:cs typeface="Arial"/>
              </a:rPr>
              <a:t>Institut de l’Elevage – Réseaux d’élevage
</a:t>
            </a:r>
            <a:r>
              <a:rPr lang="en-US" cap="none" sz="1100" b="0" i="0" u="none" baseline="0">
                <a:solidFill>
                  <a:srgbClr val="800000"/>
                </a:solidFill>
                <a:latin typeface="Arial"/>
                <a:ea typeface="Arial"/>
                <a:cs typeface="Arial"/>
              </a:rPr>
              <a:t>Utilitaire de calcul du coût de production d’un atelier CAPRINS</a:t>
            </a:r>
          </a:p>
        </xdr:txBody>
      </xdr:sp>
      <xdr:pic>
        <xdr:nvPicPr>
          <xdr:cNvPr id="3" name="Picture 9"/>
          <xdr:cNvPicPr preferRelativeResize="1">
            <a:picLocks noChangeAspect="1"/>
          </xdr:cNvPicPr>
        </xdr:nvPicPr>
        <xdr:blipFill>
          <a:blip r:embed="rId1"/>
          <a:stretch>
            <a:fillRect/>
          </a:stretch>
        </xdr:blipFill>
        <xdr:spPr>
          <a:xfrm>
            <a:off x="0" y="0"/>
            <a:ext cx="923" cy="956"/>
          </a:xfrm>
          <a:prstGeom prst="rect">
            <a:avLst/>
          </a:prstGeom>
          <a:blipFill>
            <a:blip r:embed=""/>
            <a:srcRect/>
            <a:stretch>
              <a:fillRect/>
            </a:stretch>
          </a:blipFill>
          <a:ln w="9525" cmpd="sng">
            <a:noFill/>
          </a:ln>
        </xdr:spPr>
      </xdr:pic>
      <xdr:grpSp>
        <xdr:nvGrpSpPr>
          <xdr:cNvPr id="4" name="Groupe 11"/>
          <xdr:cNvGrpSpPr>
            <a:grpSpLocks/>
          </xdr:cNvGrpSpPr>
        </xdr:nvGrpSpPr>
        <xdr:grpSpPr>
          <a:xfrm>
            <a:off x="8867" y="61"/>
            <a:ext cx="2573" cy="726"/>
            <a:chOff x="8867" y="61"/>
            <a:chExt cx="2573" cy="726"/>
          </a:xfrm>
          <a:solidFill>
            <a:srgbClr val="FFFFFF"/>
          </a:solidFill>
        </xdr:grpSpPr>
        <xdr:pic>
          <xdr:nvPicPr>
            <xdr:cNvPr id="5" name="Picture 4"/>
            <xdr:cNvPicPr preferRelativeResize="1">
              <a:picLocks noChangeAspect="1"/>
            </xdr:cNvPicPr>
          </xdr:nvPicPr>
          <xdr:blipFill>
            <a:blip r:embed="rId2"/>
            <a:stretch>
              <a:fillRect/>
            </a:stretch>
          </xdr:blipFill>
          <xdr:spPr>
            <a:xfrm>
              <a:off x="10880" y="63"/>
              <a:ext cx="560" cy="714"/>
            </a:xfrm>
            <a:prstGeom prst="rect">
              <a:avLst/>
            </a:prstGeom>
            <a:blipFill>
              <a:blip r:embed=""/>
              <a:srcRect/>
              <a:stretch>
                <a:fillRect/>
              </a:stretch>
            </a:blipFill>
            <a:ln w="9525" cmpd="sng">
              <a:noFill/>
            </a:ln>
          </xdr:spPr>
        </xdr:pic>
        <xdr:pic>
          <xdr:nvPicPr>
            <xdr:cNvPr id="6" name="Picture 5"/>
            <xdr:cNvPicPr preferRelativeResize="1">
              <a:picLocks noChangeAspect="1"/>
            </xdr:cNvPicPr>
          </xdr:nvPicPr>
          <xdr:blipFill>
            <a:blip r:embed="rId3"/>
            <a:stretch>
              <a:fillRect/>
            </a:stretch>
          </xdr:blipFill>
          <xdr:spPr>
            <a:xfrm>
              <a:off x="8867" y="61"/>
              <a:ext cx="584" cy="725"/>
            </a:xfrm>
            <a:prstGeom prst="rect">
              <a:avLst/>
            </a:prstGeom>
            <a:blipFill>
              <a:blip r:embed=""/>
              <a:srcRect/>
              <a:stretch>
                <a:fillRect/>
              </a:stretch>
            </a:blipFill>
            <a:ln w="9525" cmpd="sng">
              <a:noFill/>
            </a:ln>
          </xdr:spPr>
        </xdr:pic>
        <xdr:pic>
          <xdr:nvPicPr>
            <xdr:cNvPr id="7" name="Image 16"/>
            <xdr:cNvPicPr preferRelativeResize="1">
              <a:picLocks noChangeAspect="1"/>
            </xdr:cNvPicPr>
          </xdr:nvPicPr>
          <xdr:blipFill>
            <a:blip r:embed="rId4"/>
            <a:stretch>
              <a:fillRect/>
            </a:stretch>
          </xdr:blipFill>
          <xdr:spPr>
            <a:xfrm>
              <a:off x="9706" y="61"/>
              <a:ext cx="923" cy="725"/>
            </a:xfrm>
            <a:prstGeom prst="rect">
              <a:avLst/>
            </a:prstGeom>
            <a:blipFill>
              <a:blip r:embed=""/>
              <a:srcRect/>
              <a:stretch>
                <a:fillRect/>
              </a:stretch>
            </a:blipFill>
            <a:ln w="9525" cmpd="sng">
              <a:noFill/>
            </a:ln>
          </xdr:spPr>
        </xdr:pic>
      </xdr:grpSp>
    </xdr:grp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4886325</xdr:colOff>
      <xdr:row>1</xdr:row>
      <xdr:rowOff>238125</xdr:rowOff>
    </xdr:to>
    <xdr:grpSp>
      <xdr:nvGrpSpPr>
        <xdr:cNvPr id="1" name="Groupe 12"/>
        <xdr:cNvGrpSpPr>
          <a:grpSpLocks/>
        </xdr:cNvGrpSpPr>
      </xdr:nvGrpSpPr>
      <xdr:grpSpPr>
        <a:xfrm>
          <a:off x="0" y="0"/>
          <a:ext cx="6467475" cy="619125"/>
          <a:chOff x="0" y="0"/>
          <a:chExt cx="10766" cy="974"/>
        </a:xfrm>
        <a:solidFill>
          <a:srgbClr val="FFFFFF"/>
        </a:solidFill>
      </xdr:grpSpPr>
      <xdr:sp>
        <xdr:nvSpPr>
          <xdr:cNvPr id="2" name="Rectangle 11"/>
          <xdr:cNvSpPr>
            <a:spLocks/>
          </xdr:cNvSpPr>
        </xdr:nvSpPr>
        <xdr:spPr>
          <a:xfrm>
            <a:off x="888" y="15"/>
            <a:ext cx="9878" cy="959"/>
          </a:xfrm>
          <a:prstGeom prst="rect">
            <a:avLst/>
          </a:prstGeom>
          <a:solidFill>
            <a:srgbClr val="F4C600"/>
          </a:solidFill>
          <a:ln w="9525" cmpd="sng">
            <a:noFill/>
          </a:ln>
        </xdr:spPr>
        <xdr:txBody>
          <a:bodyPr vertOverflow="clip" wrap="square" lIns="20160" tIns="20160" rIns="20160" bIns="20160" anchor="ctr"/>
          <a:p>
            <a:pPr algn="l">
              <a:defRPr/>
            </a:pPr>
            <a:r>
              <a:rPr lang="en-US" cap="none" sz="1100" b="0" i="0" u="none" baseline="0">
                <a:solidFill>
                  <a:srgbClr val="000000"/>
                </a:solidFill>
                <a:latin typeface="Arial"/>
                <a:ea typeface="Arial"/>
                <a:cs typeface="Arial"/>
              </a:rPr>
              <a:t>Institut de l’Elevage – Réseaux d’élevage
</a:t>
            </a:r>
            <a:r>
              <a:rPr lang="en-US" cap="none" sz="1100" b="0" i="0" u="none" baseline="0">
                <a:solidFill>
                  <a:srgbClr val="800000"/>
                </a:solidFill>
                <a:latin typeface="Arial"/>
                <a:ea typeface="Arial"/>
                <a:cs typeface="Arial"/>
              </a:rPr>
              <a:t>Utilitaire de calcul du coût de production d’un atelier CAPRINS</a:t>
            </a:r>
          </a:p>
        </xdr:txBody>
      </xdr:sp>
      <xdr:pic>
        <xdr:nvPicPr>
          <xdr:cNvPr id="3" name="Picture 9"/>
          <xdr:cNvPicPr preferRelativeResize="1">
            <a:picLocks noChangeAspect="1"/>
          </xdr:cNvPicPr>
        </xdr:nvPicPr>
        <xdr:blipFill>
          <a:blip r:embed="rId1"/>
          <a:stretch>
            <a:fillRect/>
          </a:stretch>
        </xdr:blipFill>
        <xdr:spPr>
          <a:xfrm>
            <a:off x="0" y="0"/>
            <a:ext cx="923" cy="974"/>
          </a:xfrm>
          <a:prstGeom prst="rect">
            <a:avLst/>
          </a:prstGeom>
          <a:blipFill>
            <a:blip r:embed=""/>
            <a:srcRect/>
            <a:stretch>
              <a:fillRect/>
            </a:stretch>
          </a:blipFill>
          <a:ln w="9525" cmpd="sng">
            <a:noFill/>
          </a:ln>
        </xdr:spPr>
      </xdr:pic>
      <xdr:grpSp>
        <xdr:nvGrpSpPr>
          <xdr:cNvPr id="4" name="Groupe 11"/>
          <xdr:cNvGrpSpPr>
            <a:grpSpLocks/>
          </xdr:cNvGrpSpPr>
        </xdr:nvGrpSpPr>
        <xdr:grpSpPr>
          <a:xfrm>
            <a:off x="7961" y="64"/>
            <a:ext cx="2576" cy="728"/>
            <a:chOff x="7961" y="64"/>
            <a:chExt cx="2575" cy="728"/>
          </a:xfrm>
          <a:solidFill>
            <a:srgbClr val="FFFFFF"/>
          </a:solidFill>
        </xdr:grpSpPr>
        <xdr:pic>
          <xdr:nvPicPr>
            <xdr:cNvPr id="5" name="Picture 4"/>
            <xdr:cNvPicPr preferRelativeResize="1">
              <a:picLocks noChangeAspect="1"/>
            </xdr:cNvPicPr>
          </xdr:nvPicPr>
          <xdr:blipFill>
            <a:blip r:embed="rId2"/>
            <a:stretch>
              <a:fillRect/>
            </a:stretch>
          </xdr:blipFill>
          <xdr:spPr>
            <a:xfrm>
              <a:off x="9978" y="69"/>
              <a:ext cx="558" cy="715"/>
            </a:xfrm>
            <a:prstGeom prst="rect">
              <a:avLst/>
            </a:prstGeom>
            <a:blipFill>
              <a:blip r:embed=""/>
              <a:srcRect/>
              <a:stretch>
                <a:fillRect/>
              </a:stretch>
            </a:blipFill>
            <a:ln w="9525" cmpd="sng">
              <a:noFill/>
            </a:ln>
          </xdr:spPr>
        </xdr:pic>
        <xdr:pic>
          <xdr:nvPicPr>
            <xdr:cNvPr id="6" name="Picture 5"/>
            <xdr:cNvPicPr preferRelativeResize="1">
              <a:picLocks noChangeAspect="1"/>
            </xdr:cNvPicPr>
          </xdr:nvPicPr>
          <xdr:blipFill>
            <a:blip r:embed="rId3"/>
            <a:stretch>
              <a:fillRect/>
            </a:stretch>
          </xdr:blipFill>
          <xdr:spPr>
            <a:xfrm>
              <a:off x="7961" y="65"/>
              <a:ext cx="562" cy="726"/>
            </a:xfrm>
            <a:prstGeom prst="rect">
              <a:avLst/>
            </a:prstGeom>
            <a:blipFill>
              <a:blip r:embed=""/>
              <a:srcRect/>
              <a:stretch>
                <a:fillRect/>
              </a:stretch>
            </a:blipFill>
            <a:ln w="9525" cmpd="sng">
              <a:noFill/>
            </a:ln>
          </xdr:spPr>
        </xdr:pic>
        <xdr:pic>
          <xdr:nvPicPr>
            <xdr:cNvPr id="7" name="Image 10"/>
            <xdr:cNvPicPr preferRelativeResize="1">
              <a:picLocks noChangeAspect="1"/>
            </xdr:cNvPicPr>
          </xdr:nvPicPr>
          <xdr:blipFill>
            <a:blip r:embed="rId4"/>
            <a:stretch>
              <a:fillRect/>
            </a:stretch>
          </xdr:blipFill>
          <xdr:spPr>
            <a:xfrm>
              <a:off x="8799" y="64"/>
              <a:ext cx="940" cy="727"/>
            </a:xfrm>
            <a:prstGeom prst="rect">
              <a:avLst/>
            </a:prstGeom>
            <a:blipFill>
              <a:blip r:embed=""/>
              <a:srcRect/>
              <a:stretch>
                <a:fillRect/>
              </a:stretch>
            </a:blipFill>
            <a:ln w="9525" cmpd="sng">
              <a:noFill/>
            </a:ln>
          </xdr:spPr>
        </xdr:pic>
      </xdr:grpSp>
    </xdr:grp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4267200</xdr:colOff>
      <xdr:row>1</xdr:row>
      <xdr:rowOff>228600</xdr:rowOff>
    </xdr:to>
    <xdr:grpSp>
      <xdr:nvGrpSpPr>
        <xdr:cNvPr id="1" name="Groupe 12"/>
        <xdr:cNvGrpSpPr>
          <a:grpSpLocks/>
        </xdr:cNvGrpSpPr>
      </xdr:nvGrpSpPr>
      <xdr:grpSpPr>
        <a:xfrm>
          <a:off x="0" y="0"/>
          <a:ext cx="6467475" cy="609600"/>
          <a:chOff x="0" y="0"/>
          <a:chExt cx="10766" cy="957"/>
        </a:xfrm>
        <a:solidFill>
          <a:srgbClr val="FFFFFF"/>
        </a:solidFill>
      </xdr:grpSpPr>
      <xdr:sp>
        <xdr:nvSpPr>
          <xdr:cNvPr id="2" name="Rectangle 12"/>
          <xdr:cNvSpPr>
            <a:spLocks/>
          </xdr:cNvSpPr>
        </xdr:nvSpPr>
        <xdr:spPr>
          <a:xfrm>
            <a:off x="888" y="15"/>
            <a:ext cx="9878" cy="942"/>
          </a:xfrm>
          <a:prstGeom prst="rect">
            <a:avLst/>
          </a:prstGeom>
          <a:solidFill>
            <a:srgbClr val="F4C600"/>
          </a:solidFill>
          <a:ln w="9525" cmpd="sng">
            <a:noFill/>
          </a:ln>
        </xdr:spPr>
        <xdr:txBody>
          <a:bodyPr vertOverflow="clip" wrap="square" lIns="20160" tIns="20160" rIns="20160" bIns="20160" anchor="ctr"/>
          <a:p>
            <a:pPr algn="l">
              <a:defRPr/>
            </a:pPr>
            <a:r>
              <a:rPr lang="en-US" cap="none" sz="1100" b="0" i="0" u="none" baseline="0">
                <a:solidFill>
                  <a:srgbClr val="000000"/>
                </a:solidFill>
                <a:latin typeface="Arial"/>
                <a:ea typeface="Arial"/>
                <a:cs typeface="Arial"/>
              </a:rPr>
              <a:t>Institut de l’Elevage – Réseaux d’élevage
</a:t>
            </a:r>
            <a:r>
              <a:rPr lang="en-US" cap="none" sz="1100" b="0" i="0" u="none" baseline="0">
                <a:solidFill>
                  <a:srgbClr val="800000"/>
                </a:solidFill>
                <a:latin typeface="Arial"/>
                <a:ea typeface="Arial"/>
                <a:cs typeface="Arial"/>
              </a:rPr>
              <a:t>Utilitaire de calcul du coût de production d’un atelier CAPRINS</a:t>
            </a:r>
          </a:p>
        </xdr:txBody>
      </xdr:sp>
      <xdr:pic>
        <xdr:nvPicPr>
          <xdr:cNvPr id="3" name="Picture 9"/>
          <xdr:cNvPicPr preferRelativeResize="1">
            <a:picLocks noChangeAspect="1"/>
          </xdr:cNvPicPr>
        </xdr:nvPicPr>
        <xdr:blipFill>
          <a:blip r:embed="rId1"/>
          <a:stretch>
            <a:fillRect/>
          </a:stretch>
        </xdr:blipFill>
        <xdr:spPr>
          <a:xfrm>
            <a:off x="0" y="0"/>
            <a:ext cx="923" cy="956"/>
          </a:xfrm>
          <a:prstGeom prst="rect">
            <a:avLst/>
          </a:prstGeom>
          <a:blipFill>
            <a:blip r:embed=""/>
            <a:srcRect/>
            <a:stretch>
              <a:fillRect/>
            </a:stretch>
          </a:blipFill>
          <a:ln w="9525" cmpd="sng">
            <a:noFill/>
          </a:ln>
        </xdr:spPr>
      </xdr:pic>
      <xdr:grpSp>
        <xdr:nvGrpSpPr>
          <xdr:cNvPr id="4" name="Groupe 11"/>
          <xdr:cNvGrpSpPr>
            <a:grpSpLocks/>
          </xdr:cNvGrpSpPr>
        </xdr:nvGrpSpPr>
        <xdr:grpSpPr>
          <a:xfrm>
            <a:off x="7961" y="61"/>
            <a:ext cx="2576" cy="726"/>
            <a:chOff x="7961" y="61"/>
            <a:chExt cx="2577" cy="726"/>
          </a:xfrm>
          <a:solidFill>
            <a:srgbClr val="FFFFFF"/>
          </a:solidFill>
        </xdr:grpSpPr>
        <xdr:pic>
          <xdr:nvPicPr>
            <xdr:cNvPr id="5" name="Picture 4"/>
            <xdr:cNvPicPr preferRelativeResize="1">
              <a:picLocks noChangeAspect="1"/>
            </xdr:cNvPicPr>
          </xdr:nvPicPr>
          <xdr:blipFill>
            <a:blip r:embed="rId2"/>
            <a:stretch>
              <a:fillRect/>
            </a:stretch>
          </xdr:blipFill>
          <xdr:spPr>
            <a:xfrm>
              <a:off x="9978" y="63"/>
              <a:ext cx="560" cy="714"/>
            </a:xfrm>
            <a:prstGeom prst="rect">
              <a:avLst/>
            </a:prstGeom>
            <a:blipFill>
              <a:blip r:embed=""/>
              <a:srcRect/>
              <a:stretch>
                <a:fillRect/>
              </a:stretch>
            </a:blipFill>
            <a:ln w="9525" cmpd="sng">
              <a:noFill/>
            </a:ln>
          </xdr:spPr>
        </xdr:pic>
        <xdr:pic>
          <xdr:nvPicPr>
            <xdr:cNvPr id="6" name="Picture 5"/>
            <xdr:cNvPicPr preferRelativeResize="1">
              <a:picLocks noChangeAspect="1"/>
            </xdr:cNvPicPr>
          </xdr:nvPicPr>
          <xdr:blipFill>
            <a:blip r:embed="rId3"/>
            <a:stretch>
              <a:fillRect/>
            </a:stretch>
          </xdr:blipFill>
          <xdr:spPr>
            <a:xfrm>
              <a:off x="7961" y="61"/>
              <a:ext cx="563" cy="725"/>
            </a:xfrm>
            <a:prstGeom prst="rect">
              <a:avLst/>
            </a:prstGeom>
            <a:blipFill>
              <a:blip r:embed=""/>
              <a:srcRect/>
              <a:stretch>
                <a:fillRect/>
              </a:stretch>
            </a:blipFill>
            <a:ln w="9525" cmpd="sng">
              <a:noFill/>
            </a:ln>
          </xdr:spPr>
        </xdr:pic>
        <xdr:pic>
          <xdr:nvPicPr>
            <xdr:cNvPr id="7" name="Image 10"/>
            <xdr:cNvPicPr preferRelativeResize="1">
              <a:picLocks noChangeAspect="1"/>
            </xdr:cNvPicPr>
          </xdr:nvPicPr>
          <xdr:blipFill>
            <a:blip r:embed="rId4"/>
            <a:stretch>
              <a:fillRect/>
            </a:stretch>
          </xdr:blipFill>
          <xdr:spPr>
            <a:xfrm>
              <a:off x="8799" y="61"/>
              <a:ext cx="944" cy="725"/>
            </a:xfrm>
            <a:prstGeom prst="rect">
              <a:avLst/>
            </a:prstGeom>
            <a:blipFill>
              <a:blip r:embed=""/>
              <a:srcRect/>
              <a:stretch>
                <a:fillRect/>
              </a:stretch>
            </a:blipFill>
            <a:ln w="9525" cmpd="sng">
              <a:noFill/>
            </a:ln>
          </xdr:spPr>
        </xdr:pic>
      </xdr:grpSp>
    </xdr:grp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9</xdr:col>
      <xdr:colOff>47625</xdr:colOff>
      <xdr:row>1</xdr:row>
      <xdr:rowOff>323850</xdr:rowOff>
    </xdr:to>
    <xdr:grpSp>
      <xdr:nvGrpSpPr>
        <xdr:cNvPr id="1" name="Groupe 17"/>
        <xdr:cNvGrpSpPr>
          <a:grpSpLocks/>
        </xdr:cNvGrpSpPr>
      </xdr:nvGrpSpPr>
      <xdr:grpSpPr>
        <a:xfrm>
          <a:off x="0" y="0"/>
          <a:ext cx="8439150" cy="704850"/>
          <a:chOff x="0" y="0"/>
          <a:chExt cx="14049" cy="1110"/>
        </a:xfrm>
        <a:solidFill>
          <a:srgbClr val="FFFFFF"/>
        </a:solidFill>
      </xdr:grpSpPr>
      <xdr:sp>
        <xdr:nvSpPr>
          <xdr:cNvPr id="2" name="Rectangle 11"/>
          <xdr:cNvSpPr>
            <a:spLocks/>
          </xdr:cNvSpPr>
        </xdr:nvSpPr>
        <xdr:spPr>
          <a:xfrm>
            <a:off x="1078" y="15"/>
            <a:ext cx="12971" cy="1095"/>
          </a:xfrm>
          <a:prstGeom prst="rect">
            <a:avLst/>
          </a:prstGeom>
          <a:solidFill>
            <a:srgbClr val="F4C600"/>
          </a:solidFill>
          <a:ln w="9525" cmpd="sng">
            <a:noFill/>
          </a:ln>
        </xdr:spPr>
        <xdr:txBody>
          <a:bodyPr vertOverflow="clip" wrap="square" lIns="20160" tIns="20160" rIns="20160" bIns="20160" anchor="ctr"/>
          <a:p>
            <a:pPr algn="l">
              <a:defRPr/>
            </a:pPr>
            <a:r>
              <a:rPr lang="en-US" cap="none" sz="1100" b="0" i="0" u="none" baseline="0">
                <a:solidFill>
                  <a:srgbClr val="000000"/>
                </a:solidFill>
                <a:latin typeface="Arial"/>
                <a:ea typeface="Arial"/>
                <a:cs typeface="Arial"/>
              </a:rPr>
              <a:t>Institut de l’Elevage – Réseaux d’élevage
</a:t>
            </a:r>
            <a:r>
              <a:rPr lang="en-US" cap="none" sz="1100" b="0" i="0" u="none" baseline="0">
                <a:solidFill>
                  <a:srgbClr val="800000"/>
                </a:solidFill>
                <a:latin typeface="Arial"/>
                <a:ea typeface="Arial"/>
                <a:cs typeface="Arial"/>
              </a:rPr>
              <a:t>Utilitaire de calcul du coût de production d’un atelier CAPRINS</a:t>
            </a:r>
          </a:p>
        </xdr:txBody>
      </xdr:sp>
      <xdr:pic>
        <xdr:nvPicPr>
          <xdr:cNvPr id="3" name="Picture 9"/>
          <xdr:cNvPicPr preferRelativeResize="1">
            <a:picLocks noChangeAspect="1"/>
          </xdr:cNvPicPr>
        </xdr:nvPicPr>
        <xdr:blipFill>
          <a:blip r:embed="rId1"/>
          <a:stretch>
            <a:fillRect/>
          </a:stretch>
        </xdr:blipFill>
        <xdr:spPr>
          <a:xfrm>
            <a:off x="0" y="0"/>
            <a:ext cx="1127" cy="1110"/>
          </a:xfrm>
          <a:prstGeom prst="rect">
            <a:avLst/>
          </a:prstGeom>
          <a:blipFill>
            <a:blip r:embed=""/>
            <a:srcRect/>
            <a:stretch>
              <a:fillRect/>
            </a:stretch>
          </a:blipFill>
          <a:ln w="9525" cmpd="sng">
            <a:noFill/>
          </a:ln>
        </xdr:spPr>
      </xdr:pic>
      <xdr:grpSp>
        <xdr:nvGrpSpPr>
          <xdr:cNvPr id="4" name="Groupe 11"/>
          <xdr:cNvGrpSpPr>
            <a:grpSpLocks/>
          </xdr:cNvGrpSpPr>
        </xdr:nvGrpSpPr>
        <xdr:grpSpPr>
          <a:xfrm>
            <a:off x="10804" y="90"/>
            <a:ext cx="3129" cy="831"/>
            <a:chOff x="10804" y="90"/>
            <a:chExt cx="3130" cy="831"/>
          </a:xfrm>
          <a:solidFill>
            <a:srgbClr val="FFFFFF"/>
          </a:solidFill>
        </xdr:grpSpPr>
        <xdr:pic>
          <xdr:nvPicPr>
            <xdr:cNvPr id="5" name="Picture 4"/>
            <xdr:cNvPicPr preferRelativeResize="1">
              <a:picLocks noChangeAspect="1"/>
            </xdr:cNvPicPr>
          </xdr:nvPicPr>
          <xdr:blipFill>
            <a:blip r:embed="rId2"/>
            <a:stretch>
              <a:fillRect/>
            </a:stretch>
          </xdr:blipFill>
          <xdr:spPr>
            <a:xfrm>
              <a:off x="13248" y="96"/>
              <a:ext cx="685" cy="819"/>
            </a:xfrm>
            <a:prstGeom prst="rect">
              <a:avLst/>
            </a:prstGeom>
            <a:blipFill>
              <a:blip r:embed=""/>
              <a:srcRect/>
              <a:stretch>
                <a:fillRect/>
              </a:stretch>
            </a:blipFill>
            <a:ln w="9525" cmpd="sng">
              <a:noFill/>
            </a:ln>
          </xdr:spPr>
        </xdr:pic>
        <xdr:pic>
          <xdr:nvPicPr>
            <xdr:cNvPr id="6" name="Picture 5"/>
            <xdr:cNvPicPr preferRelativeResize="1">
              <a:picLocks noChangeAspect="1"/>
            </xdr:cNvPicPr>
          </xdr:nvPicPr>
          <xdr:blipFill>
            <a:blip r:embed="rId3"/>
            <a:stretch>
              <a:fillRect/>
            </a:stretch>
          </xdr:blipFill>
          <xdr:spPr>
            <a:xfrm>
              <a:off x="10804" y="92"/>
              <a:ext cx="689" cy="827"/>
            </a:xfrm>
            <a:prstGeom prst="rect">
              <a:avLst/>
            </a:prstGeom>
            <a:blipFill>
              <a:blip r:embed=""/>
              <a:srcRect/>
              <a:stretch>
                <a:fillRect/>
              </a:stretch>
            </a:blipFill>
            <a:ln w="9525" cmpd="sng">
              <a:noFill/>
            </a:ln>
          </xdr:spPr>
        </xdr:pic>
        <xdr:pic>
          <xdr:nvPicPr>
            <xdr:cNvPr id="7" name="Image 16"/>
            <xdr:cNvPicPr preferRelativeResize="1">
              <a:picLocks noChangeAspect="1"/>
            </xdr:cNvPicPr>
          </xdr:nvPicPr>
          <xdr:blipFill>
            <a:blip r:embed="rId4"/>
            <a:stretch>
              <a:fillRect/>
            </a:stretch>
          </xdr:blipFill>
          <xdr:spPr>
            <a:xfrm>
              <a:off x="11824" y="90"/>
              <a:ext cx="1127" cy="831"/>
            </a:xfrm>
            <a:prstGeom prst="rect">
              <a:avLst/>
            </a:prstGeom>
            <a:blipFill>
              <a:blip r:embed=""/>
              <a:srcRect/>
              <a:stretch>
                <a:fillRect/>
              </a:stretch>
            </a:blipFill>
            <a:ln w="9525" cmpd="sng">
              <a:noFill/>
            </a:ln>
          </xdr:spPr>
        </xdr:pic>
      </xdr:grp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1543050</xdr:colOff>
      <xdr:row>1</xdr:row>
      <xdr:rowOff>228600</xdr:rowOff>
    </xdr:to>
    <xdr:grpSp>
      <xdr:nvGrpSpPr>
        <xdr:cNvPr id="1" name="Groupe 10"/>
        <xdr:cNvGrpSpPr>
          <a:grpSpLocks/>
        </xdr:cNvGrpSpPr>
      </xdr:nvGrpSpPr>
      <xdr:grpSpPr>
        <a:xfrm>
          <a:off x="0" y="0"/>
          <a:ext cx="6457950" cy="609600"/>
          <a:chOff x="0" y="0"/>
          <a:chExt cx="10756" cy="957"/>
        </a:xfrm>
        <a:solidFill>
          <a:srgbClr val="FFFFFF"/>
        </a:solidFill>
      </xdr:grpSpPr>
      <xdr:sp>
        <xdr:nvSpPr>
          <xdr:cNvPr id="2" name="Rectangle 11"/>
          <xdr:cNvSpPr>
            <a:spLocks/>
          </xdr:cNvSpPr>
        </xdr:nvSpPr>
        <xdr:spPr>
          <a:xfrm>
            <a:off x="887" y="15"/>
            <a:ext cx="9869" cy="942"/>
          </a:xfrm>
          <a:prstGeom prst="rect">
            <a:avLst/>
          </a:prstGeom>
          <a:solidFill>
            <a:srgbClr val="F4C600"/>
          </a:solidFill>
          <a:ln w="9525" cmpd="sng">
            <a:noFill/>
          </a:ln>
        </xdr:spPr>
        <xdr:txBody>
          <a:bodyPr vertOverflow="clip" wrap="square" lIns="20160" tIns="20160" rIns="20160" bIns="20160" anchor="ctr"/>
          <a:p>
            <a:pPr algn="l">
              <a:defRPr/>
            </a:pPr>
            <a:r>
              <a:rPr lang="en-US" cap="none" sz="1100" b="0" i="0" u="none" baseline="0">
                <a:solidFill>
                  <a:srgbClr val="000000"/>
                </a:solidFill>
                <a:latin typeface="Arial"/>
                <a:ea typeface="Arial"/>
                <a:cs typeface="Arial"/>
              </a:rPr>
              <a:t>Institut de l’Elevage – Réseaux d’élevage
</a:t>
            </a:r>
            <a:r>
              <a:rPr lang="en-US" cap="none" sz="1100" b="0" i="0" u="none" baseline="0">
                <a:solidFill>
                  <a:srgbClr val="800000"/>
                </a:solidFill>
                <a:latin typeface="Arial"/>
                <a:ea typeface="Arial"/>
                <a:cs typeface="Arial"/>
              </a:rPr>
              <a:t>Utilitaire de calcul du coût de production d’un atelier caprins</a:t>
            </a:r>
          </a:p>
        </xdr:txBody>
      </xdr:sp>
      <xdr:pic>
        <xdr:nvPicPr>
          <xdr:cNvPr id="3" name="Picture 9"/>
          <xdr:cNvPicPr preferRelativeResize="1">
            <a:picLocks noChangeAspect="1"/>
          </xdr:cNvPicPr>
        </xdr:nvPicPr>
        <xdr:blipFill>
          <a:blip r:embed="rId1"/>
          <a:stretch>
            <a:fillRect/>
          </a:stretch>
        </xdr:blipFill>
        <xdr:spPr>
          <a:xfrm>
            <a:off x="0" y="0"/>
            <a:ext cx="922" cy="956"/>
          </a:xfrm>
          <a:prstGeom prst="rect">
            <a:avLst/>
          </a:prstGeom>
          <a:blipFill>
            <a:blip r:embed=""/>
            <a:srcRect/>
            <a:stretch>
              <a:fillRect/>
            </a:stretch>
          </a:blipFill>
          <a:ln w="9525" cmpd="sng">
            <a:noFill/>
          </a:ln>
        </xdr:spPr>
      </xdr:pic>
      <xdr:grpSp>
        <xdr:nvGrpSpPr>
          <xdr:cNvPr id="4" name="Groupe 11"/>
          <xdr:cNvGrpSpPr>
            <a:grpSpLocks/>
          </xdr:cNvGrpSpPr>
        </xdr:nvGrpSpPr>
        <xdr:grpSpPr>
          <a:xfrm>
            <a:off x="7976" y="61"/>
            <a:ext cx="2571" cy="726"/>
            <a:chOff x="7975" y="61"/>
            <a:chExt cx="2572" cy="726"/>
          </a:xfrm>
          <a:solidFill>
            <a:srgbClr val="FFFFFF"/>
          </a:solidFill>
        </xdr:grpSpPr>
        <xdr:pic>
          <xdr:nvPicPr>
            <xdr:cNvPr id="5" name="Picture 4"/>
            <xdr:cNvPicPr preferRelativeResize="1">
              <a:picLocks noChangeAspect="1"/>
            </xdr:cNvPicPr>
          </xdr:nvPicPr>
          <xdr:blipFill>
            <a:blip r:embed="rId2"/>
            <a:stretch>
              <a:fillRect/>
            </a:stretch>
          </xdr:blipFill>
          <xdr:spPr>
            <a:xfrm>
              <a:off x="9987" y="63"/>
              <a:ext cx="560" cy="714"/>
            </a:xfrm>
            <a:prstGeom prst="rect">
              <a:avLst/>
            </a:prstGeom>
            <a:blipFill>
              <a:blip r:embed=""/>
              <a:srcRect/>
              <a:stretch>
                <a:fillRect/>
              </a:stretch>
            </a:blipFill>
            <a:ln w="9525" cmpd="sng">
              <a:noFill/>
            </a:ln>
          </xdr:spPr>
        </xdr:pic>
        <xdr:pic>
          <xdr:nvPicPr>
            <xdr:cNvPr id="6" name="Picture 5"/>
            <xdr:cNvPicPr preferRelativeResize="1">
              <a:picLocks noChangeAspect="1"/>
            </xdr:cNvPicPr>
          </xdr:nvPicPr>
          <xdr:blipFill>
            <a:blip r:embed="rId3"/>
            <a:stretch>
              <a:fillRect/>
            </a:stretch>
          </xdr:blipFill>
          <xdr:spPr>
            <a:xfrm>
              <a:off x="7975" y="61"/>
              <a:ext cx="561" cy="725"/>
            </a:xfrm>
            <a:prstGeom prst="rect">
              <a:avLst/>
            </a:prstGeom>
            <a:blipFill>
              <a:blip r:embed=""/>
              <a:srcRect/>
              <a:stretch>
                <a:fillRect/>
              </a:stretch>
            </a:blipFill>
            <a:ln w="9525" cmpd="sng">
              <a:noFill/>
            </a:ln>
          </xdr:spPr>
        </xdr:pic>
        <xdr:pic>
          <xdr:nvPicPr>
            <xdr:cNvPr id="7" name="Image 16"/>
            <xdr:cNvPicPr preferRelativeResize="1">
              <a:picLocks noChangeAspect="1"/>
            </xdr:cNvPicPr>
          </xdr:nvPicPr>
          <xdr:blipFill>
            <a:blip r:embed="rId4"/>
            <a:stretch>
              <a:fillRect/>
            </a:stretch>
          </xdr:blipFill>
          <xdr:spPr>
            <a:xfrm>
              <a:off x="8816" y="61"/>
              <a:ext cx="922" cy="725"/>
            </a:xfrm>
            <a:prstGeom prst="rect">
              <a:avLst/>
            </a:prstGeom>
            <a:blipFill>
              <a:blip r:embed=""/>
              <a:srcRect/>
              <a:stretch>
                <a:fillRect/>
              </a:stretch>
            </a:blipFill>
            <a:ln w="9525" cmpd="sng">
              <a:noFill/>
            </a:ln>
          </xdr:spPr>
        </xdr:pic>
      </xdr:grp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16</xdr:row>
      <xdr:rowOff>47625</xdr:rowOff>
    </xdr:from>
    <xdr:to>
      <xdr:col>1</xdr:col>
      <xdr:colOff>228600</xdr:colOff>
      <xdr:row>16</xdr:row>
      <xdr:rowOff>304800</xdr:rowOff>
    </xdr:to>
    <xdr:sp fLocksText="0">
      <xdr:nvSpPr>
        <xdr:cNvPr id="1" name="ZoneTexte 1"/>
        <xdr:cNvSpPr txBox="1">
          <a:spLocks noChangeArrowheads="1"/>
        </xdr:cNvSpPr>
      </xdr:nvSpPr>
      <xdr:spPr>
        <a:xfrm>
          <a:off x="2943225" y="3228975"/>
          <a:ext cx="180975"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8</xdr:row>
      <xdr:rowOff>47625</xdr:rowOff>
    </xdr:from>
    <xdr:to>
      <xdr:col>1</xdr:col>
      <xdr:colOff>866775</xdr:colOff>
      <xdr:row>9</xdr:row>
      <xdr:rowOff>142875</xdr:rowOff>
    </xdr:to>
    <xdr:sp fLocksText="0">
      <xdr:nvSpPr>
        <xdr:cNvPr id="2" name="ZoneTexte 11"/>
        <xdr:cNvSpPr txBox="1">
          <a:spLocks noChangeArrowheads="1"/>
        </xdr:cNvSpPr>
      </xdr:nvSpPr>
      <xdr:spPr>
        <a:xfrm>
          <a:off x="3571875" y="1857375"/>
          <a:ext cx="190500"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4</xdr:col>
      <xdr:colOff>1857375</xdr:colOff>
      <xdr:row>1</xdr:row>
      <xdr:rowOff>228600</xdr:rowOff>
    </xdr:to>
    <xdr:grpSp>
      <xdr:nvGrpSpPr>
        <xdr:cNvPr id="3" name="Groupe 19"/>
        <xdr:cNvGrpSpPr>
          <a:grpSpLocks/>
        </xdr:cNvGrpSpPr>
      </xdr:nvGrpSpPr>
      <xdr:grpSpPr>
        <a:xfrm>
          <a:off x="0" y="0"/>
          <a:ext cx="7667625" cy="609600"/>
          <a:chOff x="0" y="0"/>
          <a:chExt cx="12758" cy="957"/>
        </a:xfrm>
        <a:solidFill>
          <a:srgbClr val="FFFFFF"/>
        </a:solidFill>
      </xdr:grpSpPr>
      <xdr:sp>
        <xdr:nvSpPr>
          <xdr:cNvPr id="4" name="Rectangle 13"/>
          <xdr:cNvSpPr>
            <a:spLocks/>
          </xdr:cNvSpPr>
        </xdr:nvSpPr>
        <xdr:spPr>
          <a:xfrm>
            <a:off x="887" y="15"/>
            <a:ext cx="11871" cy="942"/>
          </a:xfrm>
          <a:prstGeom prst="rect">
            <a:avLst/>
          </a:prstGeom>
          <a:solidFill>
            <a:srgbClr val="F4C600"/>
          </a:solidFill>
          <a:ln w="9525" cmpd="sng">
            <a:noFill/>
          </a:ln>
        </xdr:spPr>
        <xdr:txBody>
          <a:bodyPr vertOverflow="clip" wrap="square" lIns="20160" tIns="20160" rIns="20160" bIns="20160" anchor="ctr"/>
          <a:p>
            <a:pPr algn="l">
              <a:defRPr/>
            </a:pPr>
            <a:r>
              <a:rPr lang="en-US" cap="none" sz="1100" b="0" i="0" u="none" baseline="0">
                <a:solidFill>
                  <a:srgbClr val="000000"/>
                </a:solidFill>
                <a:latin typeface="Arial"/>
                <a:ea typeface="Arial"/>
                <a:cs typeface="Arial"/>
              </a:rPr>
              <a:t>Institut de l’Elevage – Réseaux d’élevage
</a:t>
            </a:r>
            <a:r>
              <a:rPr lang="en-US" cap="none" sz="1100" b="0" i="0" u="none" baseline="0">
                <a:solidFill>
                  <a:srgbClr val="800000"/>
                </a:solidFill>
                <a:latin typeface="Arial"/>
                <a:ea typeface="Arial"/>
                <a:cs typeface="Arial"/>
              </a:rPr>
              <a:t>Utilitaire de calcul du coût de production d’un atelier caprins </a:t>
            </a:r>
          </a:p>
        </xdr:txBody>
      </xdr:sp>
      <xdr:pic>
        <xdr:nvPicPr>
          <xdr:cNvPr id="5" name="Picture 9"/>
          <xdr:cNvPicPr preferRelativeResize="1">
            <a:picLocks noChangeAspect="1"/>
          </xdr:cNvPicPr>
        </xdr:nvPicPr>
        <xdr:blipFill>
          <a:blip r:embed="rId1"/>
          <a:stretch>
            <a:fillRect/>
          </a:stretch>
        </xdr:blipFill>
        <xdr:spPr>
          <a:xfrm>
            <a:off x="0" y="0"/>
            <a:ext cx="922" cy="956"/>
          </a:xfrm>
          <a:prstGeom prst="rect">
            <a:avLst/>
          </a:prstGeom>
          <a:blipFill>
            <a:blip r:embed=""/>
            <a:srcRect/>
            <a:stretch>
              <a:fillRect/>
            </a:stretch>
          </a:blipFill>
          <a:ln w="9525" cmpd="sng">
            <a:noFill/>
          </a:ln>
        </xdr:spPr>
      </xdr:pic>
      <xdr:grpSp>
        <xdr:nvGrpSpPr>
          <xdr:cNvPr id="6" name="Groupe 11"/>
          <xdr:cNvGrpSpPr>
            <a:grpSpLocks/>
          </xdr:cNvGrpSpPr>
        </xdr:nvGrpSpPr>
        <xdr:grpSpPr>
          <a:xfrm>
            <a:off x="10056" y="94"/>
            <a:ext cx="2583" cy="724"/>
            <a:chOff x="10058" y="94"/>
            <a:chExt cx="2582" cy="724"/>
          </a:xfrm>
          <a:solidFill>
            <a:srgbClr val="FFFFFF"/>
          </a:solidFill>
        </xdr:grpSpPr>
        <xdr:pic>
          <xdr:nvPicPr>
            <xdr:cNvPr id="7" name="Picture 4"/>
            <xdr:cNvPicPr preferRelativeResize="1">
              <a:picLocks noChangeAspect="1"/>
            </xdr:cNvPicPr>
          </xdr:nvPicPr>
          <xdr:blipFill>
            <a:blip r:embed="rId2"/>
            <a:stretch>
              <a:fillRect/>
            </a:stretch>
          </xdr:blipFill>
          <xdr:spPr>
            <a:xfrm>
              <a:off x="12082" y="94"/>
              <a:ext cx="558" cy="716"/>
            </a:xfrm>
            <a:prstGeom prst="rect">
              <a:avLst/>
            </a:prstGeom>
            <a:blipFill>
              <a:blip r:embed=""/>
              <a:srcRect/>
              <a:stretch>
                <a:fillRect/>
              </a:stretch>
            </a:blipFill>
            <a:ln w="9525" cmpd="sng">
              <a:noFill/>
            </a:ln>
          </xdr:spPr>
        </xdr:pic>
        <xdr:pic>
          <xdr:nvPicPr>
            <xdr:cNvPr id="8" name="Picture 5"/>
            <xdr:cNvPicPr preferRelativeResize="1">
              <a:picLocks noChangeAspect="1"/>
            </xdr:cNvPicPr>
          </xdr:nvPicPr>
          <xdr:blipFill>
            <a:blip r:embed="rId3"/>
            <a:stretch>
              <a:fillRect/>
            </a:stretch>
          </xdr:blipFill>
          <xdr:spPr>
            <a:xfrm>
              <a:off x="10058" y="94"/>
              <a:ext cx="560" cy="724"/>
            </a:xfrm>
            <a:prstGeom prst="rect">
              <a:avLst/>
            </a:prstGeom>
            <a:blipFill>
              <a:blip r:embed=""/>
              <a:srcRect/>
              <a:stretch>
                <a:fillRect/>
              </a:stretch>
            </a:blipFill>
            <a:ln w="9525" cmpd="sng">
              <a:noFill/>
            </a:ln>
          </xdr:spPr>
        </xdr:pic>
        <xdr:pic>
          <xdr:nvPicPr>
            <xdr:cNvPr id="9" name="Image 16"/>
            <xdr:cNvPicPr preferRelativeResize="1">
              <a:picLocks noChangeAspect="1"/>
            </xdr:cNvPicPr>
          </xdr:nvPicPr>
          <xdr:blipFill>
            <a:blip r:embed="rId4"/>
            <a:stretch>
              <a:fillRect/>
            </a:stretch>
          </xdr:blipFill>
          <xdr:spPr>
            <a:xfrm>
              <a:off x="10899" y="94"/>
              <a:ext cx="926" cy="724"/>
            </a:xfrm>
            <a:prstGeom prst="rect">
              <a:avLst/>
            </a:prstGeom>
            <a:blipFill>
              <a:blip r:embed=""/>
              <a:srcRect/>
              <a:stretch>
                <a:fillRect/>
              </a:stretch>
            </a:blipFill>
            <a:ln w="9525" cmpd="sng">
              <a:noFill/>
            </a:ln>
          </xdr:spPr>
        </xdr:pic>
      </xdr:grp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85725</xdr:colOff>
      <xdr:row>12</xdr:row>
      <xdr:rowOff>9525</xdr:rowOff>
    </xdr:from>
    <xdr:to>
      <xdr:col>10</xdr:col>
      <xdr:colOff>38100</xdr:colOff>
      <xdr:row>13</xdr:row>
      <xdr:rowOff>133350</xdr:rowOff>
    </xdr:to>
    <xdr:sp>
      <xdr:nvSpPr>
        <xdr:cNvPr id="1" name="AutoShape 1"/>
        <xdr:cNvSpPr>
          <a:spLocks/>
        </xdr:cNvSpPr>
      </xdr:nvSpPr>
      <xdr:spPr>
        <a:xfrm flipV="1">
          <a:off x="9267825" y="2600325"/>
          <a:ext cx="1981200" cy="276225"/>
        </a:xfrm>
        <a:prstGeom prst="triangle">
          <a:avLst/>
        </a:prstGeom>
        <a:solidFill>
          <a:srgbClr val="FFFF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4</xdr:col>
      <xdr:colOff>495300</xdr:colOff>
      <xdr:row>1</xdr:row>
      <xdr:rowOff>238125</xdr:rowOff>
    </xdr:to>
    <xdr:grpSp>
      <xdr:nvGrpSpPr>
        <xdr:cNvPr id="2" name="Groupe 18"/>
        <xdr:cNvGrpSpPr>
          <a:grpSpLocks/>
        </xdr:cNvGrpSpPr>
      </xdr:nvGrpSpPr>
      <xdr:grpSpPr>
        <a:xfrm>
          <a:off x="0" y="0"/>
          <a:ext cx="6457950" cy="619125"/>
          <a:chOff x="0" y="0"/>
          <a:chExt cx="10750" cy="970"/>
        </a:xfrm>
        <a:solidFill>
          <a:srgbClr val="FFFFFF"/>
        </a:solidFill>
      </xdr:grpSpPr>
      <xdr:sp>
        <xdr:nvSpPr>
          <xdr:cNvPr id="3" name="Rectangle 19"/>
          <xdr:cNvSpPr>
            <a:spLocks/>
          </xdr:cNvSpPr>
        </xdr:nvSpPr>
        <xdr:spPr>
          <a:xfrm>
            <a:off x="887" y="15"/>
            <a:ext cx="9863" cy="955"/>
          </a:xfrm>
          <a:prstGeom prst="rect">
            <a:avLst/>
          </a:prstGeom>
          <a:solidFill>
            <a:srgbClr val="F4C600"/>
          </a:solidFill>
          <a:ln w="9525" cmpd="sng">
            <a:noFill/>
          </a:ln>
        </xdr:spPr>
        <xdr:txBody>
          <a:bodyPr vertOverflow="clip" wrap="square" lIns="20160" tIns="20160" rIns="20160" bIns="20160" anchor="ctr"/>
          <a:p>
            <a:pPr algn="l">
              <a:defRPr/>
            </a:pPr>
            <a:r>
              <a:rPr lang="en-US" cap="none" sz="1100" b="0" i="0" u="none" baseline="0">
                <a:solidFill>
                  <a:srgbClr val="000000"/>
                </a:solidFill>
                <a:latin typeface="Arial"/>
                <a:ea typeface="Arial"/>
                <a:cs typeface="Arial"/>
              </a:rPr>
              <a:t>Institut de l’Elevage – Réseaux d’élevage
</a:t>
            </a:r>
            <a:r>
              <a:rPr lang="en-US" cap="none" sz="1100" b="0" i="0" u="none" baseline="0">
                <a:solidFill>
                  <a:srgbClr val="800000"/>
                </a:solidFill>
                <a:latin typeface="Arial"/>
                <a:ea typeface="Arial"/>
                <a:cs typeface="Arial"/>
              </a:rPr>
              <a:t>Utilitaire de calcul du coût de production d’un atelier caprins</a:t>
            </a:r>
          </a:p>
        </xdr:txBody>
      </xdr:sp>
      <xdr:pic>
        <xdr:nvPicPr>
          <xdr:cNvPr id="4" name="Picture 9"/>
          <xdr:cNvPicPr preferRelativeResize="1">
            <a:picLocks noChangeAspect="1"/>
          </xdr:cNvPicPr>
        </xdr:nvPicPr>
        <xdr:blipFill>
          <a:blip r:embed="rId1"/>
          <a:stretch>
            <a:fillRect/>
          </a:stretch>
        </xdr:blipFill>
        <xdr:spPr>
          <a:xfrm>
            <a:off x="0" y="0"/>
            <a:ext cx="922" cy="969"/>
          </a:xfrm>
          <a:prstGeom prst="rect">
            <a:avLst/>
          </a:prstGeom>
          <a:blipFill>
            <a:blip r:embed=""/>
            <a:srcRect/>
            <a:stretch>
              <a:fillRect/>
            </a:stretch>
          </a:blipFill>
          <a:ln w="9525" cmpd="sng">
            <a:noFill/>
          </a:ln>
        </xdr:spPr>
      </xdr:pic>
      <xdr:grpSp>
        <xdr:nvGrpSpPr>
          <xdr:cNvPr id="5" name="Groupe 11"/>
          <xdr:cNvGrpSpPr>
            <a:grpSpLocks/>
          </xdr:cNvGrpSpPr>
        </xdr:nvGrpSpPr>
        <xdr:grpSpPr>
          <a:xfrm>
            <a:off x="7944" y="61"/>
            <a:ext cx="2575" cy="743"/>
            <a:chOff x="7944" y="61"/>
            <a:chExt cx="2574" cy="743"/>
          </a:xfrm>
          <a:solidFill>
            <a:srgbClr val="FFFFFF"/>
          </a:solidFill>
        </xdr:grpSpPr>
        <xdr:pic>
          <xdr:nvPicPr>
            <xdr:cNvPr id="6" name="Picture 4"/>
            <xdr:cNvPicPr preferRelativeResize="1">
              <a:picLocks noChangeAspect="1"/>
            </xdr:cNvPicPr>
          </xdr:nvPicPr>
          <xdr:blipFill>
            <a:blip r:embed="rId2"/>
            <a:stretch>
              <a:fillRect/>
            </a:stretch>
          </xdr:blipFill>
          <xdr:spPr>
            <a:xfrm>
              <a:off x="9960" y="65"/>
              <a:ext cx="557" cy="731"/>
            </a:xfrm>
            <a:prstGeom prst="rect">
              <a:avLst/>
            </a:prstGeom>
            <a:blipFill>
              <a:blip r:embed=""/>
              <a:srcRect/>
              <a:stretch>
                <a:fillRect/>
              </a:stretch>
            </a:blipFill>
            <a:ln w="9525" cmpd="sng">
              <a:noFill/>
            </a:ln>
          </xdr:spPr>
        </xdr:pic>
        <xdr:pic>
          <xdr:nvPicPr>
            <xdr:cNvPr id="7" name="Picture 5"/>
            <xdr:cNvPicPr preferRelativeResize="1">
              <a:picLocks noChangeAspect="1"/>
            </xdr:cNvPicPr>
          </xdr:nvPicPr>
          <xdr:blipFill>
            <a:blip r:embed="rId3"/>
            <a:stretch>
              <a:fillRect/>
            </a:stretch>
          </xdr:blipFill>
          <xdr:spPr>
            <a:xfrm>
              <a:off x="7944" y="62"/>
              <a:ext cx="561" cy="733"/>
            </a:xfrm>
            <a:prstGeom prst="rect">
              <a:avLst/>
            </a:prstGeom>
            <a:blipFill>
              <a:blip r:embed=""/>
              <a:srcRect/>
              <a:stretch>
                <a:fillRect/>
              </a:stretch>
            </a:blipFill>
            <a:ln w="9525" cmpd="sng">
              <a:noFill/>
            </a:ln>
          </xdr:spPr>
        </xdr:pic>
        <xdr:pic>
          <xdr:nvPicPr>
            <xdr:cNvPr id="8" name="Image 24"/>
            <xdr:cNvPicPr preferRelativeResize="1">
              <a:picLocks noChangeAspect="1"/>
            </xdr:cNvPicPr>
          </xdr:nvPicPr>
          <xdr:blipFill>
            <a:blip r:embed="rId4"/>
            <a:stretch>
              <a:fillRect/>
            </a:stretch>
          </xdr:blipFill>
          <xdr:spPr>
            <a:xfrm>
              <a:off x="8787" y="61"/>
              <a:ext cx="921" cy="742"/>
            </a:xfrm>
            <a:prstGeom prst="rect">
              <a:avLst/>
            </a:prstGeom>
            <a:blipFill>
              <a:blip r:embed=""/>
              <a:srcRect/>
              <a:stretch>
                <a:fillRect/>
              </a:stretch>
            </a:blipFill>
            <a:ln w="9525" cmpd="sng">
              <a:noFill/>
            </a:ln>
          </xdr:spPr>
        </xdr:pic>
      </xdr:grp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647700</xdr:colOff>
      <xdr:row>0</xdr:row>
      <xdr:rowOff>38100</xdr:rowOff>
    </xdr:from>
    <xdr:to>
      <xdr:col>9</xdr:col>
      <xdr:colOff>733425</xdr:colOff>
      <xdr:row>0</xdr:row>
      <xdr:rowOff>114300</xdr:rowOff>
    </xdr:to>
    <xdr:sp>
      <xdr:nvSpPr>
        <xdr:cNvPr id="1" name="Rectangle 271"/>
        <xdr:cNvSpPr>
          <a:spLocks/>
        </xdr:cNvSpPr>
      </xdr:nvSpPr>
      <xdr:spPr>
        <a:xfrm>
          <a:off x="8610600" y="38100"/>
          <a:ext cx="847725" cy="762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xdr:colOff>
      <xdr:row>0</xdr:row>
      <xdr:rowOff>9525</xdr:rowOff>
    </xdr:from>
    <xdr:to>
      <xdr:col>4</xdr:col>
      <xdr:colOff>685800</xdr:colOff>
      <xdr:row>2</xdr:row>
      <xdr:rowOff>38100</xdr:rowOff>
    </xdr:to>
    <xdr:sp>
      <xdr:nvSpPr>
        <xdr:cNvPr id="2" name="Rectangle 30"/>
        <xdr:cNvSpPr>
          <a:spLocks/>
        </xdr:cNvSpPr>
      </xdr:nvSpPr>
      <xdr:spPr>
        <a:xfrm>
          <a:off x="438150" y="9525"/>
          <a:ext cx="5162550" cy="447675"/>
        </a:xfrm>
        <a:prstGeom prst="rect">
          <a:avLst/>
        </a:prstGeom>
        <a:solidFill>
          <a:srgbClr val="F4C600"/>
        </a:solidFill>
        <a:ln w="9525" cmpd="sng">
          <a:noFill/>
        </a:ln>
      </xdr:spPr>
      <xdr:txBody>
        <a:bodyPr vertOverflow="clip" wrap="square" lIns="20160" tIns="20160" rIns="20160" bIns="20160" anchor="ctr"/>
        <a:p>
          <a:pPr algn="l">
            <a:defRPr/>
          </a:pPr>
          <a:r>
            <a:rPr lang="en-US" cap="none" sz="1100" b="0" i="0" u="none" baseline="0">
              <a:solidFill>
                <a:srgbClr val="000000"/>
              </a:solidFill>
              <a:latin typeface="Arial"/>
              <a:ea typeface="Arial"/>
              <a:cs typeface="Arial"/>
            </a:rPr>
            <a:t>Institut de l’Elevage – Réseaux d’élevage
</a:t>
          </a:r>
          <a:r>
            <a:rPr lang="en-US" cap="none" sz="1100" b="0" i="0" u="none" baseline="0">
              <a:solidFill>
                <a:srgbClr val="800000"/>
              </a:solidFill>
              <a:latin typeface="Arial"/>
              <a:ea typeface="Arial"/>
              <a:cs typeface="Arial"/>
            </a:rPr>
            <a:t>Utilitaire de calcul du coût de production d’un atelier CAPRINS</a:t>
          </a:r>
        </a:p>
      </xdr:txBody>
    </xdr:sp>
    <xdr:clientData/>
  </xdr:twoCellAnchor>
  <xdr:twoCellAnchor>
    <xdr:from>
      <xdr:col>0</xdr:col>
      <xdr:colOff>0</xdr:colOff>
      <xdr:row>0</xdr:row>
      <xdr:rowOff>0</xdr:rowOff>
    </xdr:from>
    <xdr:to>
      <xdr:col>1</xdr:col>
      <xdr:colOff>180975</xdr:colOff>
      <xdr:row>2</xdr:row>
      <xdr:rowOff>47625</xdr:rowOff>
    </xdr:to>
    <xdr:pic>
      <xdr:nvPicPr>
        <xdr:cNvPr id="3" name="Picture 9"/>
        <xdr:cNvPicPr preferRelativeResize="1">
          <a:picLocks noChangeAspect="1"/>
        </xdr:cNvPicPr>
      </xdr:nvPicPr>
      <xdr:blipFill>
        <a:blip r:embed="rId1"/>
        <a:stretch>
          <a:fillRect/>
        </a:stretch>
      </xdr:blipFill>
      <xdr:spPr>
        <a:xfrm>
          <a:off x="0" y="0"/>
          <a:ext cx="504825" cy="466725"/>
        </a:xfrm>
        <a:prstGeom prst="rect">
          <a:avLst/>
        </a:prstGeom>
        <a:blipFill>
          <a:blip r:embed=""/>
          <a:srcRect/>
          <a:stretch>
            <a:fillRect/>
          </a:stretch>
        </a:blipFill>
        <a:ln w="9525" cmpd="sng">
          <a:noFill/>
        </a:ln>
      </xdr:spPr>
    </xdr:pic>
    <xdr:clientData/>
  </xdr:twoCellAnchor>
  <xdr:twoCellAnchor>
    <xdr:from>
      <xdr:col>4</xdr:col>
      <xdr:colOff>323850</xdr:colOff>
      <xdr:row>0</xdr:row>
      <xdr:rowOff>57150</xdr:rowOff>
    </xdr:from>
    <xdr:to>
      <xdr:col>4</xdr:col>
      <xdr:colOff>600075</xdr:colOff>
      <xdr:row>1</xdr:row>
      <xdr:rowOff>228600</xdr:rowOff>
    </xdr:to>
    <xdr:pic>
      <xdr:nvPicPr>
        <xdr:cNvPr id="4" name="Picture 4"/>
        <xdr:cNvPicPr preferRelativeResize="1">
          <a:picLocks noChangeAspect="1"/>
        </xdr:cNvPicPr>
      </xdr:nvPicPr>
      <xdr:blipFill>
        <a:blip r:embed="rId2"/>
        <a:stretch>
          <a:fillRect/>
        </a:stretch>
      </xdr:blipFill>
      <xdr:spPr>
        <a:xfrm>
          <a:off x="5238750" y="57150"/>
          <a:ext cx="276225" cy="361950"/>
        </a:xfrm>
        <a:prstGeom prst="rect">
          <a:avLst/>
        </a:prstGeom>
        <a:blipFill>
          <a:blip r:embed=""/>
          <a:srcRect/>
          <a:stretch>
            <a:fillRect/>
          </a:stretch>
        </a:blipFill>
        <a:ln w="9525" cmpd="sng">
          <a:noFill/>
        </a:ln>
      </xdr:spPr>
    </xdr:pic>
    <xdr:clientData/>
  </xdr:twoCellAnchor>
  <xdr:twoCellAnchor>
    <xdr:from>
      <xdr:col>3</xdr:col>
      <xdr:colOff>219075</xdr:colOff>
      <xdr:row>0</xdr:row>
      <xdr:rowOff>57150</xdr:rowOff>
    </xdr:from>
    <xdr:to>
      <xdr:col>3</xdr:col>
      <xdr:colOff>485775</xdr:colOff>
      <xdr:row>1</xdr:row>
      <xdr:rowOff>228600</xdr:rowOff>
    </xdr:to>
    <xdr:pic>
      <xdr:nvPicPr>
        <xdr:cNvPr id="5" name="Picture 5"/>
        <xdr:cNvPicPr preferRelativeResize="1">
          <a:picLocks noChangeAspect="1"/>
        </xdr:cNvPicPr>
      </xdr:nvPicPr>
      <xdr:blipFill>
        <a:blip r:embed="rId3"/>
        <a:stretch>
          <a:fillRect/>
        </a:stretch>
      </xdr:blipFill>
      <xdr:spPr>
        <a:xfrm>
          <a:off x="4371975" y="57150"/>
          <a:ext cx="266700" cy="361950"/>
        </a:xfrm>
        <a:prstGeom prst="rect">
          <a:avLst/>
        </a:prstGeom>
        <a:blipFill>
          <a:blip r:embed=""/>
          <a:srcRect/>
          <a:stretch>
            <a:fillRect/>
          </a:stretch>
        </a:blipFill>
        <a:ln w="9525" cmpd="sng">
          <a:noFill/>
        </a:ln>
      </xdr:spPr>
    </xdr:pic>
    <xdr:clientData/>
  </xdr:twoCellAnchor>
  <xdr:twoCellAnchor>
    <xdr:from>
      <xdr:col>3</xdr:col>
      <xdr:colOff>590550</xdr:colOff>
      <xdr:row>0</xdr:row>
      <xdr:rowOff>57150</xdr:rowOff>
    </xdr:from>
    <xdr:to>
      <xdr:col>4</xdr:col>
      <xdr:colOff>266700</xdr:colOff>
      <xdr:row>1</xdr:row>
      <xdr:rowOff>228600</xdr:rowOff>
    </xdr:to>
    <xdr:pic>
      <xdr:nvPicPr>
        <xdr:cNvPr id="6" name="Image 35"/>
        <xdr:cNvPicPr preferRelativeResize="1">
          <a:picLocks noChangeAspect="1"/>
        </xdr:cNvPicPr>
      </xdr:nvPicPr>
      <xdr:blipFill>
        <a:blip r:embed="rId4"/>
        <a:stretch>
          <a:fillRect/>
        </a:stretch>
      </xdr:blipFill>
      <xdr:spPr>
        <a:xfrm>
          <a:off x="4743450" y="57150"/>
          <a:ext cx="438150" cy="361950"/>
        </a:xfrm>
        <a:prstGeom prst="rect">
          <a:avLst/>
        </a:prstGeom>
        <a:blipFill>
          <a:blip r:embed=""/>
          <a:srcRect/>
          <a:stretch>
            <a:fillRect/>
          </a:stretch>
        </a:blip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647700</xdr:colOff>
      <xdr:row>0</xdr:row>
      <xdr:rowOff>38100</xdr:rowOff>
    </xdr:from>
    <xdr:to>
      <xdr:col>9</xdr:col>
      <xdr:colOff>733425</xdr:colOff>
      <xdr:row>0</xdr:row>
      <xdr:rowOff>114300</xdr:rowOff>
    </xdr:to>
    <xdr:sp>
      <xdr:nvSpPr>
        <xdr:cNvPr id="1" name="Rectangle 271"/>
        <xdr:cNvSpPr>
          <a:spLocks/>
        </xdr:cNvSpPr>
      </xdr:nvSpPr>
      <xdr:spPr>
        <a:xfrm>
          <a:off x="8610600" y="38100"/>
          <a:ext cx="847725" cy="762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xdr:colOff>
      <xdr:row>0</xdr:row>
      <xdr:rowOff>9525</xdr:rowOff>
    </xdr:from>
    <xdr:to>
      <xdr:col>4</xdr:col>
      <xdr:colOff>685800</xdr:colOff>
      <xdr:row>2</xdr:row>
      <xdr:rowOff>38100</xdr:rowOff>
    </xdr:to>
    <xdr:sp>
      <xdr:nvSpPr>
        <xdr:cNvPr id="2" name="Rectangle 30"/>
        <xdr:cNvSpPr>
          <a:spLocks/>
        </xdr:cNvSpPr>
      </xdr:nvSpPr>
      <xdr:spPr>
        <a:xfrm>
          <a:off x="438150" y="9525"/>
          <a:ext cx="5162550" cy="447675"/>
        </a:xfrm>
        <a:prstGeom prst="rect">
          <a:avLst/>
        </a:prstGeom>
        <a:solidFill>
          <a:srgbClr val="F4C600"/>
        </a:solidFill>
        <a:ln w="9525" cmpd="sng">
          <a:noFill/>
        </a:ln>
      </xdr:spPr>
      <xdr:txBody>
        <a:bodyPr vertOverflow="clip" wrap="square" lIns="20160" tIns="20160" rIns="20160" bIns="20160" anchor="ctr"/>
        <a:p>
          <a:pPr algn="l">
            <a:defRPr/>
          </a:pPr>
          <a:r>
            <a:rPr lang="en-US" cap="none" sz="1100" b="0" i="0" u="none" baseline="0">
              <a:solidFill>
                <a:srgbClr val="000000"/>
              </a:solidFill>
              <a:latin typeface="Arial"/>
              <a:ea typeface="Arial"/>
              <a:cs typeface="Arial"/>
            </a:rPr>
            <a:t>Institut de l’Elevage – Réseaux d’élevage
</a:t>
          </a:r>
          <a:r>
            <a:rPr lang="en-US" cap="none" sz="1100" b="0" i="0" u="none" baseline="0">
              <a:solidFill>
                <a:srgbClr val="800000"/>
              </a:solidFill>
              <a:latin typeface="Arial"/>
              <a:ea typeface="Arial"/>
              <a:cs typeface="Arial"/>
            </a:rPr>
            <a:t>Utilitaire de calcul du coût de production d’un atelier CAPRINS</a:t>
          </a:r>
        </a:p>
      </xdr:txBody>
    </xdr:sp>
    <xdr:clientData/>
  </xdr:twoCellAnchor>
  <xdr:twoCellAnchor>
    <xdr:from>
      <xdr:col>0</xdr:col>
      <xdr:colOff>0</xdr:colOff>
      <xdr:row>0</xdr:row>
      <xdr:rowOff>0</xdr:rowOff>
    </xdr:from>
    <xdr:to>
      <xdr:col>1</xdr:col>
      <xdr:colOff>180975</xdr:colOff>
      <xdr:row>2</xdr:row>
      <xdr:rowOff>47625</xdr:rowOff>
    </xdr:to>
    <xdr:pic>
      <xdr:nvPicPr>
        <xdr:cNvPr id="3" name="Picture 9"/>
        <xdr:cNvPicPr preferRelativeResize="1">
          <a:picLocks noChangeAspect="1"/>
        </xdr:cNvPicPr>
      </xdr:nvPicPr>
      <xdr:blipFill>
        <a:blip r:embed="rId1"/>
        <a:stretch>
          <a:fillRect/>
        </a:stretch>
      </xdr:blipFill>
      <xdr:spPr>
        <a:xfrm>
          <a:off x="0" y="0"/>
          <a:ext cx="504825" cy="466725"/>
        </a:xfrm>
        <a:prstGeom prst="rect">
          <a:avLst/>
        </a:prstGeom>
        <a:blipFill>
          <a:blip r:embed=""/>
          <a:srcRect/>
          <a:stretch>
            <a:fillRect/>
          </a:stretch>
        </a:blipFill>
        <a:ln w="9525" cmpd="sng">
          <a:noFill/>
        </a:ln>
      </xdr:spPr>
    </xdr:pic>
    <xdr:clientData/>
  </xdr:twoCellAnchor>
  <xdr:twoCellAnchor>
    <xdr:from>
      <xdr:col>4</xdr:col>
      <xdr:colOff>323850</xdr:colOff>
      <xdr:row>0</xdr:row>
      <xdr:rowOff>57150</xdr:rowOff>
    </xdr:from>
    <xdr:to>
      <xdr:col>4</xdr:col>
      <xdr:colOff>600075</xdr:colOff>
      <xdr:row>1</xdr:row>
      <xdr:rowOff>228600</xdr:rowOff>
    </xdr:to>
    <xdr:pic>
      <xdr:nvPicPr>
        <xdr:cNvPr id="4" name="Picture 4"/>
        <xdr:cNvPicPr preferRelativeResize="1">
          <a:picLocks noChangeAspect="1"/>
        </xdr:cNvPicPr>
      </xdr:nvPicPr>
      <xdr:blipFill>
        <a:blip r:embed="rId2"/>
        <a:stretch>
          <a:fillRect/>
        </a:stretch>
      </xdr:blipFill>
      <xdr:spPr>
        <a:xfrm>
          <a:off x="5238750" y="57150"/>
          <a:ext cx="276225" cy="361950"/>
        </a:xfrm>
        <a:prstGeom prst="rect">
          <a:avLst/>
        </a:prstGeom>
        <a:blipFill>
          <a:blip r:embed=""/>
          <a:srcRect/>
          <a:stretch>
            <a:fillRect/>
          </a:stretch>
        </a:blipFill>
        <a:ln w="9525" cmpd="sng">
          <a:noFill/>
        </a:ln>
      </xdr:spPr>
    </xdr:pic>
    <xdr:clientData/>
  </xdr:twoCellAnchor>
  <xdr:twoCellAnchor>
    <xdr:from>
      <xdr:col>3</xdr:col>
      <xdr:colOff>219075</xdr:colOff>
      <xdr:row>0</xdr:row>
      <xdr:rowOff>57150</xdr:rowOff>
    </xdr:from>
    <xdr:to>
      <xdr:col>3</xdr:col>
      <xdr:colOff>485775</xdr:colOff>
      <xdr:row>1</xdr:row>
      <xdr:rowOff>228600</xdr:rowOff>
    </xdr:to>
    <xdr:pic>
      <xdr:nvPicPr>
        <xdr:cNvPr id="5" name="Picture 5"/>
        <xdr:cNvPicPr preferRelativeResize="1">
          <a:picLocks noChangeAspect="1"/>
        </xdr:cNvPicPr>
      </xdr:nvPicPr>
      <xdr:blipFill>
        <a:blip r:embed="rId3"/>
        <a:stretch>
          <a:fillRect/>
        </a:stretch>
      </xdr:blipFill>
      <xdr:spPr>
        <a:xfrm>
          <a:off x="4371975" y="57150"/>
          <a:ext cx="266700" cy="361950"/>
        </a:xfrm>
        <a:prstGeom prst="rect">
          <a:avLst/>
        </a:prstGeom>
        <a:blipFill>
          <a:blip r:embed=""/>
          <a:srcRect/>
          <a:stretch>
            <a:fillRect/>
          </a:stretch>
        </a:blipFill>
        <a:ln w="9525" cmpd="sng">
          <a:noFill/>
        </a:ln>
      </xdr:spPr>
    </xdr:pic>
    <xdr:clientData/>
  </xdr:twoCellAnchor>
  <xdr:twoCellAnchor>
    <xdr:from>
      <xdr:col>3</xdr:col>
      <xdr:colOff>590550</xdr:colOff>
      <xdr:row>0</xdr:row>
      <xdr:rowOff>57150</xdr:rowOff>
    </xdr:from>
    <xdr:to>
      <xdr:col>4</xdr:col>
      <xdr:colOff>266700</xdr:colOff>
      <xdr:row>1</xdr:row>
      <xdr:rowOff>228600</xdr:rowOff>
    </xdr:to>
    <xdr:pic>
      <xdr:nvPicPr>
        <xdr:cNvPr id="6" name="Image 35"/>
        <xdr:cNvPicPr preferRelativeResize="1">
          <a:picLocks noChangeAspect="1"/>
        </xdr:cNvPicPr>
      </xdr:nvPicPr>
      <xdr:blipFill>
        <a:blip r:embed="rId4"/>
        <a:stretch>
          <a:fillRect/>
        </a:stretch>
      </xdr:blipFill>
      <xdr:spPr>
        <a:xfrm>
          <a:off x="4743450" y="57150"/>
          <a:ext cx="438150" cy="361950"/>
        </a:xfrm>
        <a:prstGeom prst="rect">
          <a:avLst/>
        </a:prstGeom>
        <a:blipFill>
          <a:blip r:embed=""/>
          <a:srcRect/>
          <a:stretch>
            <a:fillRect/>
          </a:stretch>
        </a:blip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xdr:row>
      <xdr:rowOff>0</xdr:rowOff>
    </xdr:from>
    <xdr:to>
      <xdr:col>2</xdr:col>
      <xdr:colOff>0</xdr:colOff>
      <xdr:row>6</xdr:row>
      <xdr:rowOff>85725</xdr:rowOff>
    </xdr:to>
    <xdr:sp>
      <xdr:nvSpPr>
        <xdr:cNvPr id="1" name="AutoShape 1"/>
        <xdr:cNvSpPr>
          <a:spLocks/>
        </xdr:cNvSpPr>
      </xdr:nvSpPr>
      <xdr:spPr>
        <a:xfrm flipV="1">
          <a:off x="2305050" y="1924050"/>
          <a:ext cx="666750" cy="85725"/>
        </a:xfrm>
        <a:prstGeom prst="triangle">
          <a:avLst/>
        </a:prstGeom>
        <a:solidFill>
          <a:srgbClr val="DBEEF4"/>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6</xdr:row>
      <xdr:rowOff>0</xdr:rowOff>
    </xdr:from>
    <xdr:to>
      <xdr:col>2</xdr:col>
      <xdr:colOff>704850</xdr:colOff>
      <xdr:row>6</xdr:row>
      <xdr:rowOff>85725</xdr:rowOff>
    </xdr:to>
    <xdr:sp>
      <xdr:nvSpPr>
        <xdr:cNvPr id="2" name="AutoShape 1"/>
        <xdr:cNvSpPr>
          <a:spLocks/>
        </xdr:cNvSpPr>
      </xdr:nvSpPr>
      <xdr:spPr>
        <a:xfrm flipV="1">
          <a:off x="3000375" y="1924050"/>
          <a:ext cx="676275" cy="85725"/>
        </a:xfrm>
        <a:prstGeom prst="triangle">
          <a:avLst/>
        </a:prstGeom>
        <a:solidFill>
          <a:srgbClr val="984807"/>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733425</xdr:colOff>
      <xdr:row>0</xdr:row>
      <xdr:rowOff>38100</xdr:rowOff>
    </xdr:from>
    <xdr:to>
      <xdr:col>10</xdr:col>
      <xdr:colOff>57150</xdr:colOff>
      <xdr:row>0</xdr:row>
      <xdr:rowOff>114300</xdr:rowOff>
    </xdr:to>
    <xdr:sp>
      <xdr:nvSpPr>
        <xdr:cNvPr id="3" name="Rectangle 271"/>
        <xdr:cNvSpPr>
          <a:spLocks/>
        </xdr:cNvSpPr>
      </xdr:nvSpPr>
      <xdr:spPr>
        <a:xfrm>
          <a:off x="6991350" y="38100"/>
          <a:ext cx="600075" cy="762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9</xdr:col>
      <xdr:colOff>466725</xdr:colOff>
      <xdr:row>3</xdr:row>
      <xdr:rowOff>19050</xdr:rowOff>
    </xdr:to>
    <xdr:grpSp>
      <xdr:nvGrpSpPr>
        <xdr:cNvPr id="4" name="Groupe 80"/>
        <xdr:cNvGrpSpPr>
          <a:grpSpLocks/>
        </xdr:cNvGrpSpPr>
      </xdr:nvGrpSpPr>
      <xdr:grpSpPr>
        <a:xfrm>
          <a:off x="0" y="0"/>
          <a:ext cx="7524750" cy="590550"/>
          <a:chOff x="0" y="0"/>
          <a:chExt cx="12525" cy="928"/>
        </a:xfrm>
        <a:solidFill>
          <a:srgbClr val="FFFFFF"/>
        </a:solidFill>
      </xdr:grpSpPr>
      <xdr:sp>
        <xdr:nvSpPr>
          <xdr:cNvPr id="5" name="Rectangle 30"/>
          <xdr:cNvSpPr>
            <a:spLocks/>
          </xdr:cNvSpPr>
        </xdr:nvSpPr>
        <xdr:spPr>
          <a:xfrm>
            <a:off x="889" y="15"/>
            <a:ext cx="11636" cy="913"/>
          </a:xfrm>
          <a:prstGeom prst="rect">
            <a:avLst/>
          </a:prstGeom>
          <a:solidFill>
            <a:srgbClr val="F4C600"/>
          </a:solidFill>
          <a:ln w="9525" cmpd="sng">
            <a:noFill/>
          </a:ln>
        </xdr:spPr>
        <xdr:txBody>
          <a:bodyPr vertOverflow="clip" wrap="square" lIns="20160" tIns="20160" rIns="20160" bIns="20160" anchor="ctr"/>
          <a:p>
            <a:pPr algn="l">
              <a:defRPr/>
            </a:pPr>
            <a:r>
              <a:rPr lang="en-US" cap="none" sz="1100" b="0" i="0" u="none" baseline="0">
                <a:solidFill>
                  <a:srgbClr val="000000"/>
                </a:solidFill>
                <a:latin typeface="Arial"/>
                <a:ea typeface="Arial"/>
                <a:cs typeface="Arial"/>
              </a:rPr>
              <a:t>Institut de l’Elevage – Réseaux d’élevage
</a:t>
            </a:r>
            <a:r>
              <a:rPr lang="en-US" cap="none" sz="1100" b="0" i="0" u="none" baseline="0">
                <a:solidFill>
                  <a:srgbClr val="800000"/>
                </a:solidFill>
                <a:latin typeface="Arial"/>
                <a:ea typeface="Arial"/>
                <a:cs typeface="Arial"/>
              </a:rPr>
              <a:t>Utilitaire de calcul du coût de production d’un atelier CAPRINS</a:t>
            </a:r>
          </a:p>
        </xdr:txBody>
      </xdr:sp>
      <xdr:pic>
        <xdr:nvPicPr>
          <xdr:cNvPr id="6" name="Picture 9"/>
          <xdr:cNvPicPr preferRelativeResize="1">
            <a:picLocks noChangeAspect="1"/>
          </xdr:cNvPicPr>
        </xdr:nvPicPr>
        <xdr:blipFill>
          <a:blip r:embed="rId1"/>
          <a:stretch>
            <a:fillRect/>
          </a:stretch>
        </xdr:blipFill>
        <xdr:spPr>
          <a:xfrm>
            <a:off x="0" y="0"/>
            <a:ext cx="924" cy="928"/>
          </a:xfrm>
          <a:prstGeom prst="rect">
            <a:avLst/>
          </a:prstGeom>
          <a:blipFill>
            <a:blip r:embed=""/>
            <a:srcRect/>
            <a:stretch>
              <a:fillRect/>
            </a:stretch>
          </a:blipFill>
          <a:ln w="9525" cmpd="sng">
            <a:noFill/>
          </a:ln>
        </xdr:spPr>
      </xdr:pic>
      <xdr:grpSp>
        <xdr:nvGrpSpPr>
          <xdr:cNvPr id="7" name="Groupe 11"/>
          <xdr:cNvGrpSpPr>
            <a:grpSpLocks/>
          </xdr:cNvGrpSpPr>
        </xdr:nvGrpSpPr>
        <xdr:grpSpPr>
          <a:xfrm>
            <a:off x="9785" y="90"/>
            <a:ext cx="2571" cy="704"/>
            <a:chOff x="9785" y="90"/>
            <a:chExt cx="2572" cy="704"/>
          </a:xfrm>
          <a:solidFill>
            <a:srgbClr val="FFFFFF"/>
          </a:solidFill>
        </xdr:grpSpPr>
        <xdr:pic>
          <xdr:nvPicPr>
            <xdr:cNvPr id="8" name="Picture 4"/>
            <xdr:cNvPicPr preferRelativeResize="1">
              <a:picLocks noChangeAspect="1"/>
            </xdr:cNvPicPr>
          </xdr:nvPicPr>
          <xdr:blipFill>
            <a:blip r:embed="rId2"/>
            <a:stretch>
              <a:fillRect/>
            </a:stretch>
          </xdr:blipFill>
          <xdr:spPr>
            <a:xfrm>
              <a:off x="11797" y="90"/>
              <a:ext cx="559" cy="698"/>
            </a:xfrm>
            <a:prstGeom prst="rect">
              <a:avLst/>
            </a:prstGeom>
            <a:blipFill>
              <a:blip r:embed=""/>
              <a:srcRect/>
              <a:stretch>
                <a:fillRect/>
              </a:stretch>
            </a:blipFill>
            <a:ln w="9525" cmpd="sng">
              <a:noFill/>
            </a:ln>
          </xdr:spPr>
        </xdr:pic>
        <xdr:pic>
          <xdr:nvPicPr>
            <xdr:cNvPr id="9" name="Picture 5"/>
            <xdr:cNvPicPr preferRelativeResize="1">
              <a:picLocks noChangeAspect="1"/>
            </xdr:cNvPicPr>
          </xdr:nvPicPr>
          <xdr:blipFill>
            <a:blip r:embed="rId3"/>
            <a:stretch>
              <a:fillRect/>
            </a:stretch>
          </xdr:blipFill>
          <xdr:spPr>
            <a:xfrm>
              <a:off x="9785" y="90"/>
              <a:ext cx="560" cy="702"/>
            </a:xfrm>
            <a:prstGeom prst="rect">
              <a:avLst/>
            </a:prstGeom>
            <a:blipFill>
              <a:blip r:embed=""/>
              <a:srcRect/>
              <a:stretch>
                <a:fillRect/>
              </a:stretch>
            </a:blipFill>
            <a:ln w="9525" cmpd="sng">
              <a:noFill/>
            </a:ln>
          </xdr:spPr>
        </xdr:pic>
        <xdr:pic>
          <xdr:nvPicPr>
            <xdr:cNvPr id="10" name="Image 35"/>
            <xdr:cNvPicPr preferRelativeResize="1">
              <a:picLocks noChangeAspect="1"/>
            </xdr:cNvPicPr>
          </xdr:nvPicPr>
          <xdr:blipFill>
            <a:blip r:embed="rId4"/>
            <a:stretch>
              <a:fillRect/>
            </a:stretch>
          </xdr:blipFill>
          <xdr:spPr>
            <a:xfrm>
              <a:off x="10624" y="90"/>
              <a:ext cx="925" cy="703"/>
            </a:xfrm>
            <a:prstGeom prst="rect">
              <a:avLst/>
            </a:prstGeom>
            <a:blipFill>
              <a:blip r:embed=""/>
              <a:srcRect/>
              <a:stretch>
                <a:fillRect/>
              </a:stretch>
            </a:blipFill>
            <a:ln w="9525" cmpd="sng">
              <a:noFill/>
            </a:ln>
          </xdr:spPr>
        </xdr:pic>
      </xdr:grpSp>
    </xdr:grpSp>
    <xdr:clientData/>
  </xdr:twoCellAnchor>
  <xdr:twoCellAnchor>
    <xdr:from>
      <xdr:col>4</xdr:col>
      <xdr:colOff>0</xdr:colOff>
      <xdr:row>28</xdr:row>
      <xdr:rowOff>200025</xdr:rowOff>
    </xdr:from>
    <xdr:to>
      <xdr:col>9</xdr:col>
      <xdr:colOff>371475</xdr:colOff>
      <xdr:row>49</xdr:row>
      <xdr:rowOff>38100</xdr:rowOff>
    </xdr:to>
    <xdr:graphicFrame>
      <xdr:nvGraphicFramePr>
        <xdr:cNvPr id="11" name="Graphique 11"/>
        <xdr:cNvGraphicFramePr/>
      </xdr:nvGraphicFramePr>
      <xdr:xfrm>
        <a:off x="3886200" y="5676900"/>
        <a:ext cx="3543300" cy="3362325"/>
      </xdr:xfrm>
      <a:graphic>
        <a:graphicData uri="http://schemas.openxmlformats.org/drawingml/2006/chart">
          <c:chart xmlns:c="http://schemas.openxmlformats.org/drawingml/2006/chart" r:id="rId5"/>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xdr:row>
      <xdr:rowOff>0</xdr:rowOff>
    </xdr:from>
    <xdr:to>
      <xdr:col>2</xdr:col>
      <xdr:colOff>0</xdr:colOff>
      <xdr:row>6</xdr:row>
      <xdr:rowOff>95250</xdr:rowOff>
    </xdr:to>
    <xdr:sp>
      <xdr:nvSpPr>
        <xdr:cNvPr id="1" name="AutoShape 1"/>
        <xdr:cNvSpPr>
          <a:spLocks/>
        </xdr:cNvSpPr>
      </xdr:nvSpPr>
      <xdr:spPr>
        <a:xfrm flipV="1">
          <a:off x="2305050" y="1990725"/>
          <a:ext cx="666750" cy="95250"/>
        </a:xfrm>
        <a:prstGeom prst="triangle">
          <a:avLst/>
        </a:prstGeom>
        <a:solidFill>
          <a:srgbClr val="DBEEF4"/>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6</xdr:row>
      <xdr:rowOff>0</xdr:rowOff>
    </xdr:from>
    <xdr:to>
      <xdr:col>2</xdr:col>
      <xdr:colOff>704850</xdr:colOff>
      <xdr:row>6</xdr:row>
      <xdr:rowOff>95250</xdr:rowOff>
    </xdr:to>
    <xdr:sp>
      <xdr:nvSpPr>
        <xdr:cNvPr id="2" name="AutoShape 1"/>
        <xdr:cNvSpPr>
          <a:spLocks/>
        </xdr:cNvSpPr>
      </xdr:nvSpPr>
      <xdr:spPr>
        <a:xfrm flipV="1">
          <a:off x="3000375" y="1990725"/>
          <a:ext cx="676275" cy="95250"/>
        </a:xfrm>
        <a:prstGeom prst="triangle">
          <a:avLst/>
        </a:prstGeom>
        <a:solidFill>
          <a:srgbClr val="984807"/>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19050</xdr:colOff>
      <xdr:row>0</xdr:row>
      <xdr:rowOff>38100</xdr:rowOff>
    </xdr:from>
    <xdr:to>
      <xdr:col>6</xdr:col>
      <xdr:colOff>619125</xdr:colOff>
      <xdr:row>0</xdr:row>
      <xdr:rowOff>114300</xdr:rowOff>
    </xdr:to>
    <xdr:sp>
      <xdr:nvSpPr>
        <xdr:cNvPr id="3" name="Rectangle 271"/>
        <xdr:cNvSpPr>
          <a:spLocks/>
        </xdr:cNvSpPr>
      </xdr:nvSpPr>
      <xdr:spPr>
        <a:xfrm>
          <a:off x="6991350" y="38100"/>
          <a:ext cx="600075" cy="762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95250</xdr:colOff>
      <xdr:row>24</xdr:row>
      <xdr:rowOff>66675</xdr:rowOff>
    </xdr:from>
    <xdr:to>
      <xdr:col>5</xdr:col>
      <xdr:colOff>485775</xdr:colOff>
      <xdr:row>24</xdr:row>
      <xdr:rowOff>66675</xdr:rowOff>
    </xdr:to>
    <xdr:sp>
      <xdr:nvSpPr>
        <xdr:cNvPr id="4" name="Line 919"/>
        <xdr:cNvSpPr>
          <a:spLocks/>
        </xdr:cNvSpPr>
      </xdr:nvSpPr>
      <xdr:spPr>
        <a:xfrm>
          <a:off x="6219825" y="6057900"/>
          <a:ext cx="390525" cy="0"/>
        </a:xfrm>
        <a:prstGeom prst="line">
          <a:avLst/>
        </a:prstGeom>
        <a:noFill/>
        <a:ln w="38160"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571500</xdr:colOff>
      <xdr:row>24</xdr:row>
      <xdr:rowOff>0</xdr:rowOff>
    </xdr:from>
    <xdr:to>
      <xdr:col>6</xdr:col>
      <xdr:colOff>533400</xdr:colOff>
      <xdr:row>24</xdr:row>
      <xdr:rowOff>142875</xdr:rowOff>
    </xdr:to>
    <xdr:sp fLocksText="0">
      <xdr:nvSpPr>
        <xdr:cNvPr id="5" name="Text Box 232"/>
        <xdr:cNvSpPr txBox="1">
          <a:spLocks noChangeArrowheads="1"/>
        </xdr:cNvSpPr>
      </xdr:nvSpPr>
      <xdr:spPr>
        <a:xfrm>
          <a:off x="6696075" y="5991225"/>
          <a:ext cx="809625" cy="142875"/>
        </a:xfrm>
        <a:prstGeom prst="rect">
          <a:avLst/>
        </a:prstGeom>
        <a:noFill/>
        <a:ln w="9525" cmpd="sng">
          <a:noFill/>
        </a:ln>
      </xdr:spPr>
      <xdr:txBody>
        <a:bodyPr vertOverflow="clip" wrap="square" lIns="18000" tIns="22680" rIns="0" bIns="0" anchor="ctr"/>
        <a:p>
          <a:pPr algn="l">
            <a:defRPr/>
          </a:pPr>
          <a:r>
            <a:rPr lang="en-US" cap="none" sz="900" b="1" i="0" u="none" baseline="0">
              <a:solidFill>
                <a:srgbClr val="000000"/>
              </a:solidFill>
              <a:latin typeface="Arial"/>
              <a:ea typeface="Arial"/>
              <a:cs typeface="Arial"/>
            </a:rPr>
            <a:t>Référence</a:t>
          </a:r>
          <a:r>
            <a:rPr lang="en-US" cap="none" sz="900" b="0" i="0" u="none" baseline="0">
              <a:solidFill>
                <a:srgbClr val="000000"/>
              </a:solidFill>
              <a:latin typeface="Arial"/>
              <a:ea typeface="Arial"/>
              <a:cs typeface="Arial"/>
            </a:rPr>
            <a:t> </a:t>
          </a:r>
        </a:p>
      </xdr:txBody>
    </xdr:sp>
    <xdr:clientData/>
  </xdr:twoCellAnchor>
  <xdr:twoCellAnchor>
    <xdr:from>
      <xdr:col>4</xdr:col>
      <xdr:colOff>638175</xdr:colOff>
      <xdr:row>24</xdr:row>
      <xdr:rowOff>95250</xdr:rowOff>
    </xdr:from>
    <xdr:to>
      <xdr:col>4</xdr:col>
      <xdr:colOff>1104900</xdr:colOff>
      <xdr:row>24</xdr:row>
      <xdr:rowOff>95250</xdr:rowOff>
    </xdr:to>
    <xdr:sp>
      <xdr:nvSpPr>
        <xdr:cNvPr id="6" name="Line 919"/>
        <xdr:cNvSpPr>
          <a:spLocks/>
        </xdr:cNvSpPr>
      </xdr:nvSpPr>
      <xdr:spPr>
        <a:xfrm>
          <a:off x="4524375" y="6086475"/>
          <a:ext cx="466725" cy="0"/>
        </a:xfrm>
        <a:prstGeom prst="line">
          <a:avLst/>
        </a:prstGeom>
        <a:noFill/>
        <a:ln w="38160" cmpd="sng">
          <a:solidFill>
            <a:srgbClr val="376092"/>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1076325</xdr:colOff>
      <xdr:row>23</xdr:row>
      <xdr:rowOff>152400</xdr:rowOff>
    </xdr:from>
    <xdr:to>
      <xdr:col>5</xdr:col>
      <xdr:colOff>209550</xdr:colOff>
      <xdr:row>25</xdr:row>
      <xdr:rowOff>9525</xdr:rowOff>
    </xdr:to>
    <xdr:sp fLocksText="0">
      <xdr:nvSpPr>
        <xdr:cNvPr id="7" name="Text Box 232"/>
        <xdr:cNvSpPr txBox="1">
          <a:spLocks noChangeArrowheads="1"/>
        </xdr:cNvSpPr>
      </xdr:nvSpPr>
      <xdr:spPr>
        <a:xfrm>
          <a:off x="4962525" y="5981700"/>
          <a:ext cx="1371600" cy="180975"/>
        </a:xfrm>
        <a:prstGeom prst="rect">
          <a:avLst/>
        </a:prstGeom>
        <a:noFill/>
        <a:ln w="9525" cmpd="sng">
          <a:noFill/>
        </a:ln>
      </xdr:spPr>
      <xdr:txBody>
        <a:bodyPr vertOverflow="clip" wrap="square" lIns="18000" tIns="22680" rIns="0" bIns="0" anchor="ctr"/>
        <a:p>
          <a:pPr algn="l">
            <a:defRPr/>
          </a:pPr>
          <a:r>
            <a:rPr lang="en-US" cap="none" sz="900" b="1" i="0" u="none" baseline="0">
              <a:solidFill>
                <a:srgbClr val="000000"/>
              </a:solidFill>
              <a:latin typeface="Arial"/>
              <a:ea typeface="Arial"/>
              <a:cs typeface="Arial"/>
            </a:rPr>
            <a:t>Votre atelier</a:t>
          </a:r>
        </a:p>
      </xdr:txBody>
    </xdr:sp>
    <xdr:clientData/>
  </xdr:twoCellAnchor>
  <xdr:twoCellAnchor>
    <xdr:from>
      <xdr:col>4</xdr:col>
      <xdr:colOff>66675</xdr:colOff>
      <xdr:row>25</xdr:row>
      <xdr:rowOff>19050</xdr:rowOff>
    </xdr:from>
    <xdr:to>
      <xdr:col>7</xdr:col>
      <xdr:colOff>361950</xdr:colOff>
      <xdr:row>40</xdr:row>
      <xdr:rowOff>133350</xdr:rowOff>
    </xdr:to>
    <xdr:graphicFrame>
      <xdr:nvGraphicFramePr>
        <xdr:cNvPr id="8" name="Graphique 8"/>
        <xdr:cNvGraphicFramePr/>
      </xdr:nvGraphicFramePr>
      <xdr:xfrm>
        <a:off x="3952875" y="6172200"/>
        <a:ext cx="4181475" cy="26289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6</xdr:col>
      <xdr:colOff>676275</xdr:colOff>
      <xdr:row>3</xdr:row>
      <xdr:rowOff>28575</xdr:rowOff>
    </xdr:to>
    <xdr:grpSp>
      <xdr:nvGrpSpPr>
        <xdr:cNvPr id="9" name="Groupe 16"/>
        <xdr:cNvGrpSpPr>
          <a:grpSpLocks/>
        </xdr:cNvGrpSpPr>
      </xdr:nvGrpSpPr>
      <xdr:grpSpPr>
        <a:xfrm>
          <a:off x="0" y="0"/>
          <a:ext cx="7648575" cy="609600"/>
          <a:chOff x="0" y="0"/>
          <a:chExt cx="12733" cy="958"/>
        </a:xfrm>
        <a:solidFill>
          <a:srgbClr val="FFFFFF"/>
        </a:solidFill>
      </xdr:grpSpPr>
      <xdr:sp>
        <xdr:nvSpPr>
          <xdr:cNvPr id="10" name="Rectangle 10"/>
          <xdr:cNvSpPr>
            <a:spLocks/>
          </xdr:cNvSpPr>
        </xdr:nvSpPr>
        <xdr:spPr>
          <a:xfrm>
            <a:off x="888" y="15"/>
            <a:ext cx="11845" cy="943"/>
          </a:xfrm>
          <a:prstGeom prst="rect">
            <a:avLst/>
          </a:prstGeom>
          <a:solidFill>
            <a:srgbClr val="F4C600"/>
          </a:solidFill>
          <a:ln w="9525" cmpd="sng">
            <a:noFill/>
          </a:ln>
        </xdr:spPr>
        <xdr:txBody>
          <a:bodyPr vertOverflow="clip" wrap="square" lIns="20160" tIns="20160" rIns="20160" bIns="20160" anchor="ctr"/>
          <a:p>
            <a:pPr algn="l">
              <a:defRPr/>
            </a:pPr>
            <a:r>
              <a:rPr lang="en-US" cap="none" sz="1100" b="0" i="0" u="none" baseline="0">
                <a:solidFill>
                  <a:srgbClr val="000000"/>
                </a:solidFill>
                <a:latin typeface="Arial"/>
                <a:ea typeface="Arial"/>
                <a:cs typeface="Arial"/>
              </a:rPr>
              <a:t>Institut de l’Elevage – Réseaux d’élevage
</a:t>
            </a:r>
            <a:r>
              <a:rPr lang="en-US" cap="none" sz="1100" b="0" i="0" u="none" baseline="0">
                <a:solidFill>
                  <a:srgbClr val="800000"/>
                </a:solidFill>
                <a:latin typeface="Arial"/>
                <a:ea typeface="Arial"/>
                <a:cs typeface="Arial"/>
              </a:rPr>
              <a:t>Utilitaire de calcul du coût de production d’un atelier CAPRINS</a:t>
            </a:r>
          </a:p>
        </xdr:txBody>
      </xdr:sp>
      <xdr:pic>
        <xdr:nvPicPr>
          <xdr:cNvPr id="11" name="Picture 9"/>
          <xdr:cNvPicPr preferRelativeResize="1">
            <a:picLocks noChangeAspect="1"/>
          </xdr:cNvPicPr>
        </xdr:nvPicPr>
        <xdr:blipFill>
          <a:blip r:embed="rId2"/>
          <a:stretch>
            <a:fillRect/>
          </a:stretch>
        </xdr:blipFill>
        <xdr:spPr>
          <a:xfrm>
            <a:off x="0" y="0"/>
            <a:ext cx="920" cy="957"/>
          </a:xfrm>
          <a:prstGeom prst="rect">
            <a:avLst/>
          </a:prstGeom>
          <a:blipFill>
            <a:blip r:embed=""/>
            <a:srcRect/>
            <a:stretch>
              <a:fillRect/>
            </a:stretch>
          </a:blipFill>
          <a:ln w="9525" cmpd="sng">
            <a:noFill/>
          </a:ln>
        </xdr:spPr>
      </xdr:pic>
      <xdr:grpSp>
        <xdr:nvGrpSpPr>
          <xdr:cNvPr id="12" name="Groupe 11"/>
          <xdr:cNvGrpSpPr>
            <a:grpSpLocks/>
          </xdr:cNvGrpSpPr>
        </xdr:nvGrpSpPr>
        <xdr:grpSpPr>
          <a:xfrm>
            <a:off x="9757" y="95"/>
            <a:ext cx="2563" cy="725"/>
            <a:chOff x="9757" y="95"/>
            <a:chExt cx="2563" cy="725"/>
          </a:xfrm>
          <a:solidFill>
            <a:srgbClr val="FFFFFF"/>
          </a:solidFill>
        </xdr:grpSpPr>
        <xdr:pic>
          <xdr:nvPicPr>
            <xdr:cNvPr id="13" name="Picture 4"/>
            <xdr:cNvPicPr preferRelativeResize="1">
              <a:picLocks noChangeAspect="1"/>
            </xdr:cNvPicPr>
          </xdr:nvPicPr>
          <xdr:blipFill>
            <a:blip r:embed="rId3"/>
            <a:stretch>
              <a:fillRect/>
            </a:stretch>
          </xdr:blipFill>
          <xdr:spPr>
            <a:xfrm>
              <a:off x="11762" y="95"/>
              <a:ext cx="558" cy="714"/>
            </a:xfrm>
            <a:prstGeom prst="rect">
              <a:avLst/>
            </a:prstGeom>
            <a:blipFill>
              <a:blip r:embed=""/>
              <a:srcRect/>
              <a:stretch>
                <a:fillRect/>
              </a:stretch>
            </a:blipFill>
            <a:ln w="9525" cmpd="sng">
              <a:noFill/>
            </a:ln>
          </xdr:spPr>
        </xdr:pic>
        <xdr:pic>
          <xdr:nvPicPr>
            <xdr:cNvPr id="14" name="Picture 5"/>
            <xdr:cNvPicPr preferRelativeResize="1">
              <a:picLocks noChangeAspect="1"/>
            </xdr:cNvPicPr>
          </xdr:nvPicPr>
          <xdr:blipFill>
            <a:blip r:embed="rId4"/>
            <a:stretch>
              <a:fillRect/>
            </a:stretch>
          </xdr:blipFill>
          <xdr:spPr>
            <a:xfrm>
              <a:off x="9757" y="95"/>
              <a:ext cx="560" cy="720"/>
            </a:xfrm>
            <a:prstGeom prst="rect">
              <a:avLst/>
            </a:prstGeom>
            <a:blipFill>
              <a:blip r:embed=""/>
              <a:srcRect/>
              <a:stretch>
                <a:fillRect/>
              </a:stretch>
            </a:blipFill>
            <a:ln w="9525" cmpd="sng">
              <a:noFill/>
            </a:ln>
          </xdr:spPr>
        </xdr:pic>
        <xdr:pic>
          <xdr:nvPicPr>
            <xdr:cNvPr id="15" name="Image 15"/>
            <xdr:cNvPicPr preferRelativeResize="1">
              <a:picLocks noChangeAspect="1"/>
            </xdr:cNvPicPr>
          </xdr:nvPicPr>
          <xdr:blipFill>
            <a:blip r:embed="rId5"/>
            <a:stretch>
              <a:fillRect/>
            </a:stretch>
          </xdr:blipFill>
          <xdr:spPr>
            <a:xfrm>
              <a:off x="10594" y="95"/>
              <a:ext cx="919" cy="724"/>
            </a:xfrm>
            <a:prstGeom prst="rect">
              <a:avLst/>
            </a:prstGeom>
            <a:blipFill>
              <a:blip r:embed=""/>
              <a:srcRect/>
              <a:stretch>
                <a:fillRect/>
              </a:stretch>
            </a:blipFill>
            <a:ln w="9525" cmpd="sng">
              <a:noFill/>
            </a:ln>
          </xdr:spPr>
        </xdr:pic>
      </xdr:grpSp>
    </xdr:grp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6</xdr:row>
      <xdr:rowOff>0</xdr:rowOff>
    </xdr:from>
    <xdr:to>
      <xdr:col>6</xdr:col>
      <xdr:colOff>0</xdr:colOff>
      <xdr:row>6</xdr:row>
      <xdr:rowOff>95250</xdr:rowOff>
    </xdr:to>
    <xdr:sp>
      <xdr:nvSpPr>
        <xdr:cNvPr id="1" name="AutoShape 1"/>
        <xdr:cNvSpPr>
          <a:spLocks/>
        </xdr:cNvSpPr>
      </xdr:nvSpPr>
      <xdr:spPr>
        <a:xfrm flipV="1">
          <a:off x="3600450" y="1428750"/>
          <a:ext cx="676275" cy="95250"/>
        </a:xfrm>
        <a:prstGeom prst="triangle">
          <a:avLst/>
        </a:prstGeom>
        <a:solidFill>
          <a:srgbClr val="CC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28575</xdr:colOff>
      <xdr:row>6</xdr:row>
      <xdr:rowOff>0</xdr:rowOff>
    </xdr:from>
    <xdr:to>
      <xdr:col>6</xdr:col>
      <xdr:colOff>647700</xdr:colOff>
      <xdr:row>6</xdr:row>
      <xdr:rowOff>95250</xdr:rowOff>
    </xdr:to>
    <xdr:sp>
      <xdr:nvSpPr>
        <xdr:cNvPr id="2" name="AutoShape 1"/>
        <xdr:cNvSpPr>
          <a:spLocks/>
        </xdr:cNvSpPr>
      </xdr:nvSpPr>
      <xdr:spPr>
        <a:xfrm flipV="1">
          <a:off x="4305300" y="1428750"/>
          <a:ext cx="619125" cy="95250"/>
        </a:xfrm>
        <a:prstGeom prst="triangle">
          <a:avLst/>
        </a:prstGeom>
        <a:solidFill>
          <a:srgbClr val="C0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561975</xdr:colOff>
      <xdr:row>30</xdr:row>
      <xdr:rowOff>133350</xdr:rowOff>
    </xdr:from>
    <xdr:to>
      <xdr:col>11</xdr:col>
      <xdr:colOff>419100</xdr:colOff>
      <xdr:row>31</xdr:row>
      <xdr:rowOff>133350</xdr:rowOff>
    </xdr:to>
    <xdr:sp fLocksText="0">
      <xdr:nvSpPr>
        <xdr:cNvPr id="3" name="Text Box 232"/>
        <xdr:cNvSpPr txBox="1">
          <a:spLocks noChangeArrowheads="1"/>
        </xdr:cNvSpPr>
      </xdr:nvSpPr>
      <xdr:spPr>
        <a:xfrm>
          <a:off x="8772525" y="5448300"/>
          <a:ext cx="619125" cy="161925"/>
        </a:xfrm>
        <a:prstGeom prst="rect">
          <a:avLst/>
        </a:prstGeom>
        <a:noFill/>
        <a:ln w="9525" cmpd="sng">
          <a:noFill/>
        </a:ln>
      </xdr:spPr>
      <xdr:txBody>
        <a:bodyPr vertOverflow="clip" wrap="square" lIns="18000" tIns="22680" rIns="0" bIns="0" anchor="ctr"/>
        <a:p>
          <a:pPr algn="l">
            <a:defRPr/>
          </a:pPr>
          <a:r>
            <a:rPr lang="en-US" cap="none" sz="900" b="1" i="0" u="none" baseline="0">
              <a:solidFill>
                <a:srgbClr val="000000"/>
              </a:solidFill>
              <a:latin typeface="Arial"/>
              <a:ea typeface="Arial"/>
              <a:cs typeface="Arial"/>
            </a:rPr>
            <a:t>Simulation</a:t>
          </a:r>
        </a:p>
      </xdr:txBody>
    </xdr:sp>
    <xdr:clientData/>
  </xdr:twoCellAnchor>
  <xdr:twoCellAnchor>
    <xdr:from>
      <xdr:col>10</xdr:col>
      <xdr:colOff>76200</xdr:colOff>
      <xdr:row>31</xdr:row>
      <xdr:rowOff>28575</xdr:rowOff>
    </xdr:from>
    <xdr:to>
      <xdr:col>10</xdr:col>
      <xdr:colOff>485775</xdr:colOff>
      <xdr:row>31</xdr:row>
      <xdr:rowOff>123825</xdr:rowOff>
    </xdr:to>
    <xdr:grpSp>
      <xdr:nvGrpSpPr>
        <xdr:cNvPr id="4" name="Groupe 20"/>
        <xdr:cNvGrpSpPr>
          <a:grpSpLocks/>
        </xdr:cNvGrpSpPr>
      </xdr:nvGrpSpPr>
      <xdr:grpSpPr>
        <a:xfrm>
          <a:off x="8286750" y="5505450"/>
          <a:ext cx="409575" cy="95250"/>
          <a:chOff x="13793" y="8670"/>
          <a:chExt cx="677" cy="147"/>
        </a:xfrm>
        <a:solidFill>
          <a:srgbClr val="FFFFFF"/>
        </a:solidFill>
      </xdr:grpSpPr>
      <xdr:sp>
        <xdr:nvSpPr>
          <xdr:cNvPr id="5" name="Line 919"/>
          <xdr:cNvSpPr>
            <a:spLocks/>
          </xdr:cNvSpPr>
        </xdr:nvSpPr>
        <xdr:spPr>
          <a:xfrm>
            <a:off x="13793" y="8758"/>
            <a:ext cx="677" cy="0"/>
          </a:xfrm>
          <a:prstGeom prst="line">
            <a:avLst/>
          </a:prstGeom>
          <a:noFill/>
          <a:ln w="38160"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Rectangle 921"/>
          <xdr:cNvSpPr>
            <a:spLocks/>
          </xdr:cNvSpPr>
        </xdr:nvSpPr>
        <xdr:spPr>
          <a:xfrm>
            <a:off x="14030" y="8670"/>
            <a:ext cx="200" cy="146"/>
          </a:xfrm>
          <a:prstGeom prst="rect">
            <a:avLst/>
          </a:prstGeom>
          <a:solidFill>
            <a:srgbClr val="FFFFFF"/>
          </a:solidFill>
          <a:ln w="9360"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8</xdr:col>
      <xdr:colOff>1209675</xdr:colOff>
      <xdr:row>30</xdr:row>
      <xdr:rowOff>133350</xdr:rowOff>
    </xdr:from>
    <xdr:to>
      <xdr:col>8</xdr:col>
      <xdr:colOff>1866900</xdr:colOff>
      <xdr:row>31</xdr:row>
      <xdr:rowOff>133350</xdr:rowOff>
    </xdr:to>
    <xdr:sp fLocksText="0">
      <xdr:nvSpPr>
        <xdr:cNvPr id="7" name="Text Box 232"/>
        <xdr:cNvSpPr txBox="1">
          <a:spLocks noChangeArrowheads="1"/>
        </xdr:cNvSpPr>
      </xdr:nvSpPr>
      <xdr:spPr>
        <a:xfrm>
          <a:off x="6343650" y="5448300"/>
          <a:ext cx="657225" cy="161925"/>
        </a:xfrm>
        <a:prstGeom prst="rect">
          <a:avLst/>
        </a:prstGeom>
        <a:noFill/>
        <a:ln w="9525" cmpd="sng">
          <a:noFill/>
        </a:ln>
      </xdr:spPr>
      <xdr:txBody>
        <a:bodyPr vertOverflow="clip" wrap="square" lIns="18000" tIns="22680" rIns="0" bIns="0" anchor="ctr"/>
        <a:p>
          <a:pPr algn="l">
            <a:defRPr/>
          </a:pPr>
          <a:r>
            <a:rPr lang="en-US" cap="none" sz="900" b="1" i="0" u="none" baseline="0">
              <a:solidFill>
                <a:srgbClr val="000000"/>
              </a:solidFill>
              <a:latin typeface="Arial"/>
              <a:ea typeface="Arial"/>
              <a:cs typeface="Arial"/>
            </a:rPr>
            <a:t>Résultat</a:t>
          </a:r>
        </a:p>
      </xdr:txBody>
    </xdr:sp>
    <xdr:clientData/>
  </xdr:twoCellAnchor>
  <xdr:twoCellAnchor>
    <xdr:from>
      <xdr:col>8</xdr:col>
      <xdr:colOff>762000</xdr:colOff>
      <xdr:row>31</xdr:row>
      <xdr:rowOff>28575</xdr:rowOff>
    </xdr:from>
    <xdr:to>
      <xdr:col>8</xdr:col>
      <xdr:colOff>1143000</xdr:colOff>
      <xdr:row>31</xdr:row>
      <xdr:rowOff>123825</xdr:rowOff>
    </xdr:to>
    <xdr:grpSp>
      <xdr:nvGrpSpPr>
        <xdr:cNvPr id="8" name="Groupe 21"/>
        <xdr:cNvGrpSpPr>
          <a:grpSpLocks/>
        </xdr:cNvGrpSpPr>
      </xdr:nvGrpSpPr>
      <xdr:grpSpPr>
        <a:xfrm>
          <a:off x="5895975" y="5505450"/>
          <a:ext cx="381000" cy="95250"/>
          <a:chOff x="9816" y="8670"/>
          <a:chExt cx="639" cy="147"/>
        </a:xfrm>
        <a:solidFill>
          <a:srgbClr val="FFFFFF"/>
        </a:solidFill>
      </xdr:grpSpPr>
      <xdr:sp>
        <xdr:nvSpPr>
          <xdr:cNvPr id="9" name="Line 929"/>
          <xdr:cNvSpPr>
            <a:spLocks/>
          </xdr:cNvSpPr>
        </xdr:nvSpPr>
        <xdr:spPr>
          <a:xfrm>
            <a:off x="9816" y="8758"/>
            <a:ext cx="639" cy="0"/>
          </a:xfrm>
          <a:prstGeom prst="line">
            <a:avLst/>
          </a:prstGeom>
          <a:noFill/>
          <a:ln w="38160" cmpd="sng">
            <a:solidFill>
              <a:srgbClr val="333399"/>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Rectangle 931"/>
          <xdr:cNvSpPr>
            <a:spLocks/>
          </xdr:cNvSpPr>
        </xdr:nvSpPr>
        <xdr:spPr>
          <a:xfrm>
            <a:off x="10024" y="8670"/>
            <a:ext cx="180" cy="146"/>
          </a:xfrm>
          <a:prstGeom prst="rect">
            <a:avLst/>
          </a:prstGeom>
          <a:solidFill>
            <a:srgbClr val="FFFFFF"/>
          </a:solidFill>
          <a:ln w="9360" cmpd="sng">
            <a:solidFill>
              <a:srgbClr val="333399"/>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8</xdr:col>
      <xdr:colOff>76200</xdr:colOff>
      <xdr:row>32</xdr:row>
      <xdr:rowOff>57150</xdr:rowOff>
    </xdr:from>
    <xdr:to>
      <xdr:col>11</xdr:col>
      <xdr:colOff>561975</xdr:colOff>
      <xdr:row>44</xdr:row>
      <xdr:rowOff>142875</xdr:rowOff>
    </xdr:to>
    <xdr:graphicFrame>
      <xdr:nvGraphicFramePr>
        <xdr:cNvPr id="11" name="Graphique 11"/>
        <xdr:cNvGraphicFramePr/>
      </xdr:nvGraphicFramePr>
      <xdr:xfrm>
        <a:off x="5210175" y="5695950"/>
        <a:ext cx="4324350" cy="219075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7</xdr:row>
      <xdr:rowOff>9525</xdr:rowOff>
    </xdr:from>
    <xdr:to>
      <xdr:col>2</xdr:col>
      <xdr:colOff>590550</xdr:colOff>
      <xdr:row>8</xdr:row>
      <xdr:rowOff>85725</xdr:rowOff>
    </xdr:to>
    <xdr:sp>
      <xdr:nvSpPr>
        <xdr:cNvPr id="12" name="AutoShape 1"/>
        <xdr:cNvSpPr>
          <a:spLocks/>
        </xdr:cNvSpPr>
      </xdr:nvSpPr>
      <xdr:spPr>
        <a:xfrm flipV="1">
          <a:off x="171450" y="1647825"/>
          <a:ext cx="1085850" cy="114300"/>
        </a:xfrm>
        <a:prstGeom prst="triangle">
          <a:avLst/>
        </a:prstGeom>
        <a:solidFill>
          <a:srgbClr val="FCD5B5"/>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0</xdr:row>
      <xdr:rowOff>9525</xdr:rowOff>
    </xdr:from>
    <xdr:to>
      <xdr:col>11</xdr:col>
      <xdr:colOff>9525</xdr:colOff>
      <xdr:row>2</xdr:row>
      <xdr:rowOff>123825</xdr:rowOff>
    </xdr:to>
    <xdr:grpSp>
      <xdr:nvGrpSpPr>
        <xdr:cNvPr id="13" name="Groupe 20"/>
        <xdr:cNvGrpSpPr>
          <a:grpSpLocks/>
        </xdr:cNvGrpSpPr>
      </xdr:nvGrpSpPr>
      <xdr:grpSpPr>
        <a:xfrm>
          <a:off x="1409700" y="9525"/>
          <a:ext cx="7572375" cy="533400"/>
          <a:chOff x="2344" y="15"/>
          <a:chExt cx="12605" cy="835"/>
        </a:xfrm>
        <a:solidFill>
          <a:srgbClr val="FFFFFF"/>
        </a:solidFill>
      </xdr:grpSpPr>
      <xdr:sp>
        <xdr:nvSpPr>
          <xdr:cNvPr id="14" name="Rectangle 22"/>
          <xdr:cNvSpPr>
            <a:spLocks/>
          </xdr:cNvSpPr>
        </xdr:nvSpPr>
        <xdr:spPr>
          <a:xfrm>
            <a:off x="3233" y="30"/>
            <a:ext cx="11716" cy="820"/>
          </a:xfrm>
          <a:prstGeom prst="rect">
            <a:avLst/>
          </a:prstGeom>
          <a:solidFill>
            <a:srgbClr val="F4C600"/>
          </a:solidFill>
          <a:ln w="9525" cmpd="sng">
            <a:noFill/>
          </a:ln>
        </xdr:spPr>
        <xdr:txBody>
          <a:bodyPr vertOverflow="clip" wrap="square" lIns="20160" tIns="20160" rIns="20160" bIns="20160" anchor="ctr"/>
          <a:p>
            <a:pPr algn="l">
              <a:defRPr/>
            </a:pPr>
            <a:r>
              <a:rPr lang="en-US" cap="none" sz="1100" b="0" i="0" u="none" baseline="0">
                <a:solidFill>
                  <a:srgbClr val="000000"/>
                </a:solidFill>
                <a:latin typeface="Arial"/>
                <a:ea typeface="Arial"/>
                <a:cs typeface="Arial"/>
              </a:rPr>
              <a:t>Institut de l’Elevage – Réseaux d’élevage
</a:t>
            </a:r>
            <a:r>
              <a:rPr lang="en-US" cap="none" sz="1100" b="0" i="0" u="none" baseline="0">
                <a:solidFill>
                  <a:srgbClr val="800000"/>
                </a:solidFill>
                <a:latin typeface="Arial"/>
                <a:ea typeface="Arial"/>
                <a:cs typeface="Arial"/>
              </a:rPr>
              <a:t>Utilitaire de calcul du coût de production d’un atelier CAPRINS</a:t>
            </a:r>
          </a:p>
        </xdr:txBody>
      </xdr:sp>
      <xdr:pic>
        <xdr:nvPicPr>
          <xdr:cNvPr id="15" name="Picture 9"/>
          <xdr:cNvPicPr preferRelativeResize="1">
            <a:picLocks noChangeAspect="1"/>
          </xdr:cNvPicPr>
        </xdr:nvPicPr>
        <xdr:blipFill>
          <a:blip r:embed="rId2"/>
          <a:stretch>
            <a:fillRect/>
          </a:stretch>
        </xdr:blipFill>
        <xdr:spPr>
          <a:xfrm>
            <a:off x="2344" y="15"/>
            <a:ext cx="914" cy="831"/>
          </a:xfrm>
          <a:prstGeom prst="rect">
            <a:avLst/>
          </a:prstGeom>
          <a:blipFill>
            <a:blip r:embed=""/>
            <a:srcRect/>
            <a:stretch>
              <a:fillRect/>
            </a:stretch>
          </a:blipFill>
          <a:ln w="9525" cmpd="sng">
            <a:noFill/>
          </a:ln>
        </xdr:spPr>
      </xdr:pic>
      <xdr:grpSp>
        <xdr:nvGrpSpPr>
          <xdr:cNvPr id="16" name="Groupe 11"/>
          <xdr:cNvGrpSpPr>
            <a:grpSpLocks/>
          </xdr:cNvGrpSpPr>
        </xdr:nvGrpSpPr>
        <xdr:grpSpPr>
          <a:xfrm>
            <a:off x="12264" y="100"/>
            <a:ext cx="2553" cy="632"/>
            <a:chOff x="12264" y="100"/>
            <a:chExt cx="2553" cy="632"/>
          </a:xfrm>
          <a:solidFill>
            <a:srgbClr val="FFFFFF"/>
          </a:solidFill>
        </xdr:grpSpPr>
        <xdr:pic>
          <xdr:nvPicPr>
            <xdr:cNvPr id="17" name="Picture 4"/>
            <xdr:cNvPicPr preferRelativeResize="1">
              <a:picLocks noChangeAspect="1"/>
            </xdr:cNvPicPr>
          </xdr:nvPicPr>
          <xdr:blipFill>
            <a:blip r:embed="rId3"/>
            <a:stretch>
              <a:fillRect/>
            </a:stretch>
          </xdr:blipFill>
          <xdr:spPr>
            <a:xfrm>
              <a:off x="14266" y="100"/>
              <a:ext cx="551" cy="618"/>
            </a:xfrm>
            <a:prstGeom prst="rect">
              <a:avLst/>
            </a:prstGeom>
            <a:blipFill>
              <a:blip r:embed=""/>
              <a:srcRect/>
              <a:stretch>
                <a:fillRect/>
              </a:stretch>
            </a:blipFill>
            <a:ln w="9525" cmpd="sng">
              <a:noFill/>
            </a:ln>
          </xdr:spPr>
        </xdr:pic>
        <xdr:pic>
          <xdr:nvPicPr>
            <xdr:cNvPr id="18" name="Picture 5"/>
            <xdr:cNvPicPr preferRelativeResize="1">
              <a:picLocks noChangeAspect="1"/>
            </xdr:cNvPicPr>
          </xdr:nvPicPr>
          <xdr:blipFill>
            <a:blip r:embed="rId4"/>
            <a:stretch>
              <a:fillRect/>
            </a:stretch>
          </xdr:blipFill>
          <xdr:spPr>
            <a:xfrm>
              <a:off x="12264" y="100"/>
              <a:ext cx="555" cy="628"/>
            </a:xfrm>
            <a:prstGeom prst="rect">
              <a:avLst/>
            </a:prstGeom>
            <a:blipFill>
              <a:blip r:embed=""/>
              <a:srcRect/>
              <a:stretch>
                <a:fillRect/>
              </a:stretch>
            </a:blipFill>
            <a:ln w="9525" cmpd="sng">
              <a:noFill/>
            </a:ln>
          </xdr:spPr>
        </xdr:pic>
        <xdr:pic>
          <xdr:nvPicPr>
            <xdr:cNvPr id="19" name="Image 28"/>
            <xdr:cNvPicPr preferRelativeResize="1">
              <a:picLocks noChangeAspect="1"/>
            </xdr:cNvPicPr>
          </xdr:nvPicPr>
          <xdr:blipFill>
            <a:blip r:embed="rId5"/>
            <a:stretch>
              <a:fillRect/>
            </a:stretch>
          </xdr:blipFill>
          <xdr:spPr>
            <a:xfrm>
              <a:off x="13096" y="100"/>
              <a:ext cx="914" cy="632"/>
            </a:xfrm>
            <a:prstGeom prst="rect">
              <a:avLst/>
            </a:prstGeom>
            <a:blipFill>
              <a:blip r:embed=""/>
              <a:srcRect/>
              <a:stretch>
                <a:fillRect/>
              </a:stretch>
            </a:blipFill>
            <a:ln w="9525" cmpd="sng">
              <a:noFill/>
            </a:ln>
          </xdr:spPr>
        </xdr:pic>
      </xdr:grpSp>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BOSSIS_N\Application%20Data\Microsoft\Excel\COUPROD_OV_2011-07-19_vide.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aisie"/>
      <sheetName val="Nouveau"/>
      <sheetName val="Mode emploi"/>
      <sheetName val="Import GTE"/>
      <sheetName val="Calcul"/>
      <sheetName val="Synthèse"/>
      <sheetName val="Edition 1"/>
      <sheetName val="Edition 1 allégée"/>
      <sheetName val="Edition 2"/>
      <sheetName val="Edition 2 sur 2 pages"/>
      <sheetName val="Lexique"/>
      <sheetName val="Simulation"/>
      <sheetName val="Cuisine"/>
      <sheetName val="Référentiel"/>
      <sheetName val="Export"/>
      <sheetName val="Clés"/>
      <sheetName val="Regroupements"/>
      <sheetName val="Notes méthodo"/>
      <sheetName val="Paramètres"/>
      <sheetName val="Carte des zones"/>
      <sheetName val="Plan comptabl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1:C31"/>
  <sheetViews>
    <sheetView showGridLines="0" zoomScalePageLayoutView="0" workbookViewId="0" topLeftCell="A19">
      <selection activeCell="A29" sqref="A29"/>
    </sheetView>
  </sheetViews>
  <sheetFormatPr defaultColWidth="11.421875" defaultRowHeight="12.75"/>
  <cols>
    <col min="1" max="1" width="12.00390625" style="1" customWidth="1"/>
    <col min="2" max="2" width="13.00390625" style="2" customWidth="1"/>
    <col min="3" max="3" width="66.140625" style="3" customWidth="1"/>
    <col min="4" max="16384" width="11.421875" style="4" customWidth="1"/>
  </cols>
  <sheetData>
    <row r="1" spans="1:3" ht="30" customHeight="1">
      <c r="A1" s="5"/>
      <c r="B1" s="6"/>
      <c r="C1" s="7"/>
    </row>
    <row r="2" spans="1:3" s="11" customFormat="1" ht="42.75" customHeight="1">
      <c r="A2" s="8"/>
      <c r="B2" s="9"/>
      <c r="C2" s="10"/>
    </row>
    <row r="3" spans="1:3" s="11" customFormat="1" ht="21.75" customHeight="1">
      <c r="A3" s="12"/>
      <c r="B3" s="13"/>
      <c r="C3" s="14"/>
    </row>
    <row r="4" spans="1:3" s="15" customFormat="1" ht="33" customHeight="1">
      <c r="A4" s="1366" t="s">
        <v>0</v>
      </c>
      <c r="B4" s="1366"/>
      <c r="C4" s="1366"/>
    </row>
    <row r="5" spans="1:3" s="15" customFormat="1" ht="13.5" customHeight="1">
      <c r="A5" s="1366"/>
      <c r="B5" s="1366"/>
      <c r="C5" s="1366"/>
    </row>
    <row r="6" spans="1:3" s="19" customFormat="1" ht="15">
      <c r="A6" s="16" t="s">
        <v>1</v>
      </c>
      <c r="B6" s="17" t="s">
        <v>2</v>
      </c>
      <c r="C6" s="18" t="s">
        <v>3</v>
      </c>
    </row>
    <row r="7" spans="1:3" s="23" customFormat="1" ht="15">
      <c r="A7" s="20">
        <v>0.1</v>
      </c>
      <c r="B7" s="21">
        <v>40749</v>
      </c>
      <c r="C7" s="22" t="s">
        <v>4</v>
      </c>
    </row>
    <row r="8" spans="1:3" ht="12.75">
      <c r="A8" s="24">
        <v>1</v>
      </c>
      <c r="B8" s="25">
        <v>40819</v>
      </c>
      <c r="C8" s="26" t="s">
        <v>5</v>
      </c>
    </row>
    <row r="9" spans="1:3" ht="12.75" customHeight="1">
      <c r="A9" s="24" t="s">
        <v>6</v>
      </c>
      <c r="B9" s="25">
        <v>40823</v>
      </c>
      <c r="C9" s="26" t="s">
        <v>7</v>
      </c>
    </row>
    <row r="10" spans="1:3" ht="12.75">
      <c r="A10" s="24">
        <v>3</v>
      </c>
      <c r="B10" s="25">
        <v>40848</v>
      </c>
      <c r="C10" s="27" t="s">
        <v>8</v>
      </c>
    </row>
    <row r="11" spans="1:3" ht="12.75">
      <c r="A11" s="28">
        <v>4</v>
      </c>
      <c r="B11" s="25">
        <v>40886</v>
      </c>
      <c r="C11" s="26" t="s">
        <v>9</v>
      </c>
    </row>
    <row r="12" spans="1:3" ht="12.75">
      <c r="A12" s="24">
        <v>5</v>
      </c>
      <c r="B12" s="25">
        <v>40988</v>
      </c>
      <c r="C12" s="26" t="s">
        <v>10</v>
      </c>
    </row>
    <row r="13" spans="1:3" ht="12.75">
      <c r="A13" s="24">
        <v>6</v>
      </c>
      <c r="B13" s="25">
        <v>41001</v>
      </c>
      <c r="C13" s="26" t="s">
        <v>11</v>
      </c>
    </row>
    <row r="14" spans="1:3" ht="12.75">
      <c r="A14" s="24">
        <v>7</v>
      </c>
      <c r="B14" s="25">
        <v>41123</v>
      </c>
      <c r="C14" s="26" t="s">
        <v>12</v>
      </c>
    </row>
    <row r="15" spans="1:3" ht="12.75">
      <c r="A15" s="28">
        <v>8</v>
      </c>
      <c r="B15" s="25">
        <v>41320</v>
      </c>
      <c r="C15" s="26" t="s">
        <v>13</v>
      </c>
    </row>
    <row r="16" spans="1:3" ht="12.75">
      <c r="A16" s="28">
        <v>2</v>
      </c>
      <c r="B16" s="25">
        <v>41379</v>
      </c>
      <c r="C16" s="26" t="s">
        <v>14</v>
      </c>
    </row>
    <row r="17" spans="1:3" ht="12.75">
      <c r="A17" s="29">
        <v>2.1</v>
      </c>
      <c r="B17" s="30">
        <v>41409</v>
      </c>
      <c r="C17" s="31" t="s">
        <v>15</v>
      </c>
    </row>
    <row r="18" spans="1:3" ht="36">
      <c r="A18" s="32">
        <v>2.1</v>
      </c>
      <c r="B18" s="25">
        <v>41562</v>
      </c>
      <c r="C18" s="26" t="s">
        <v>16</v>
      </c>
    </row>
    <row r="19" spans="1:3" ht="12.75">
      <c r="A19" s="33">
        <v>3</v>
      </c>
      <c r="B19" s="25">
        <v>41644</v>
      </c>
      <c r="C19" s="34" t="s">
        <v>17</v>
      </c>
    </row>
    <row r="20" spans="1:3" ht="12.75">
      <c r="A20" s="35"/>
      <c r="B20" s="36">
        <v>41760</v>
      </c>
      <c r="C20" s="37" t="s">
        <v>18</v>
      </c>
    </row>
    <row r="21" spans="1:3" ht="24">
      <c r="A21" s="35"/>
      <c r="B21" s="38">
        <v>41970</v>
      </c>
      <c r="C21" s="39" t="s">
        <v>19</v>
      </c>
    </row>
    <row r="22" spans="1:3" ht="12.75">
      <c r="A22" s="40"/>
      <c r="B22" s="38">
        <v>41982</v>
      </c>
      <c r="C22" s="39" t="s">
        <v>20</v>
      </c>
    </row>
    <row r="23" spans="1:3" ht="12.75">
      <c r="A23" s="40"/>
      <c r="B23" s="38">
        <v>42171</v>
      </c>
      <c r="C23" s="39" t="s">
        <v>21</v>
      </c>
    </row>
    <row r="24" spans="1:3" ht="24">
      <c r="A24" s="40"/>
      <c r="B24" s="38">
        <v>42177</v>
      </c>
      <c r="C24" s="39" t="s">
        <v>22</v>
      </c>
    </row>
    <row r="25" spans="1:3" ht="12.75">
      <c r="A25" s="40"/>
      <c r="B25" s="38">
        <v>42179</v>
      </c>
      <c r="C25" s="39" t="s">
        <v>23</v>
      </c>
    </row>
    <row r="26" spans="1:3" ht="12.75">
      <c r="A26" s="40"/>
      <c r="B26" s="38">
        <v>42662</v>
      </c>
      <c r="C26" s="39" t="s">
        <v>24</v>
      </c>
    </row>
    <row r="27" spans="1:3" ht="12.75">
      <c r="A27" s="40"/>
      <c r="B27" s="38">
        <v>42688</v>
      </c>
      <c r="C27" s="39" t="s">
        <v>25</v>
      </c>
    </row>
    <row r="28" spans="1:3" ht="24">
      <c r="A28" s="40" t="s">
        <v>1260</v>
      </c>
      <c r="B28" s="38">
        <v>42878</v>
      </c>
      <c r="C28" s="39" t="s">
        <v>1259</v>
      </c>
    </row>
    <row r="29" spans="1:3" ht="12.75">
      <c r="A29" s="40" t="s">
        <v>1262</v>
      </c>
      <c r="B29" s="38">
        <v>43515</v>
      </c>
      <c r="C29" s="39" t="s">
        <v>1267</v>
      </c>
    </row>
    <row r="30" spans="1:3" ht="12.75">
      <c r="A30" s="40"/>
      <c r="B30" s="38"/>
      <c r="C30" s="39"/>
    </row>
    <row r="31" spans="1:3" ht="12.75">
      <c r="A31" s="40"/>
      <c r="B31" s="38"/>
      <c r="C31" s="39"/>
    </row>
  </sheetData>
  <sheetProtection password="BF82" sheet="1"/>
  <mergeCells count="2">
    <mergeCell ref="A4:C4"/>
    <mergeCell ref="A5:C5"/>
  </mergeCells>
  <printOptions/>
  <pageMargins left="0.39375" right="0.39375" top="0.39375" bottom="0.7875" header="0.5118055555555555" footer="0.39375"/>
  <pageSetup fitToHeight="0" fitToWidth="1" horizontalDpi="300" verticalDpi="300" orientation="portrait" paperSize="9" r:id="rId2"/>
  <headerFooter alignWithMargins="0">
    <oddFooter>&amp;C&amp;8&amp;F - Feuille &amp;A - page &amp;P / &amp;N</oddFooter>
  </headerFooter>
  <drawing r:id="rId1"/>
</worksheet>
</file>

<file path=xl/worksheets/sheet10.xml><?xml version="1.0" encoding="utf-8"?>
<worksheet xmlns="http://schemas.openxmlformats.org/spreadsheetml/2006/main" xmlns:r="http://schemas.openxmlformats.org/officeDocument/2006/relationships">
  <dimension ref="A1:O95"/>
  <sheetViews>
    <sheetView zoomScalePageLayoutView="0" workbookViewId="0" topLeftCell="A41">
      <selection activeCell="C48" sqref="C48"/>
    </sheetView>
  </sheetViews>
  <sheetFormatPr defaultColWidth="11.421875" defaultRowHeight="12.75"/>
  <cols>
    <col min="1" max="1" width="34.140625" style="0" customWidth="1"/>
    <col min="2" max="2" width="14.7109375" style="0" customWidth="1"/>
    <col min="3" max="3" width="21.421875" style="0" customWidth="1"/>
    <col min="4" max="4" width="10.28125" style="0" customWidth="1"/>
    <col min="5" max="5" width="9.140625" style="0" customWidth="1"/>
    <col min="6" max="6" width="10.28125" style="0" customWidth="1"/>
    <col min="7" max="7" width="9.140625" style="0" customWidth="1"/>
    <col min="8" max="8" width="9.7109375" style="0" customWidth="1"/>
    <col min="9" max="9" width="14.7109375" style="0" customWidth="1"/>
    <col min="10" max="10" width="8.7109375" style="905" customWidth="1"/>
    <col min="11" max="11" width="10.28125" style="0" customWidth="1"/>
    <col min="12" max="12" width="9.140625" style="0" customWidth="1"/>
    <col min="13" max="13" width="8.00390625" style="0" customWidth="1"/>
    <col min="14" max="14" width="8.28125" style="0" customWidth="1"/>
    <col min="15" max="15" width="7.57421875" style="0" customWidth="1"/>
    <col min="16" max="16" width="7.421875" style="0" customWidth="1"/>
  </cols>
  <sheetData>
    <row r="1" spans="1:15" ht="15.75">
      <c r="A1" s="906" t="s">
        <v>707</v>
      </c>
      <c r="C1" s="907" t="s">
        <v>708</v>
      </c>
      <c r="D1" s="908"/>
      <c r="E1" s="908"/>
      <c r="F1" s="908"/>
      <c r="G1" s="909"/>
      <c r="J1" s="910" t="s">
        <v>709</v>
      </c>
      <c r="K1" s="911"/>
      <c r="L1" s="911"/>
      <c r="M1" s="911"/>
      <c r="N1" s="911"/>
      <c r="O1" s="912"/>
    </row>
    <row r="2" spans="1:15" ht="12.75">
      <c r="A2" s="913" t="str">
        <f>IF(Référentiel!B5&lt;&gt;"",Référentiel!B5,"")</f>
        <v>Fromager DIAPASON  2013</v>
      </c>
      <c r="C2" s="914"/>
      <c r="D2" s="544"/>
      <c r="E2" s="544"/>
      <c r="F2" s="544"/>
      <c r="G2" s="915"/>
      <c r="J2" s="916"/>
      <c r="K2" s="544"/>
      <c r="L2" s="544"/>
      <c r="M2" s="544"/>
      <c r="N2" s="544"/>
      <c r="O2" s="917"/>
    </row>
    <row r="3" spans="1:15" ht="12.75">
      <c r="A3" s="913" t="str">
        <f>IF(Référentiel!C5&lt;&gt;"",Référentiel!C5,"")</f>
        <v>Fromager DIAPASON  Estimé 2014</v>
      </c>
      <c r="C3" s="918"/>
      <c r="D3" s="919" t="s">
        <v>710</v>
      </c>
      <c r="E3" s="919" t="s">
        <v>601</v>
      </c>
      <c r="F3" s="919" t="s">
        <v>711</v>
      </c>
      <c r="G3" s="920" t="s">
        <v>601</v>
      </c>
      <c r="J3" s="916"/>
      <c r="K3" s="544"/>
      <c r="L3" s="544"/>
      <c r="M3" s="544"/>
      <c r="N3" s="544"/>
      <c r="O3" s="917"/>
    </row>
    <row r="4" spans="1:15" ht="12.75">
      <c r="A4" s="913" t="str">
        <f>IF(Référentiel!D5&lt;&gt;"",Référentiel!D5,"")</f>
        <v>LAITIER  pâturage DIAPASON 2013</v>
      </c>
      <c r="C4" s="918" t="s">
        <v>612</v>
      </c>
      <c r="D4" s="921" t="e">
        <f>'Edition 1'!H22</f>
        <v>#DIV/0!</v>
      </c>
      <c r="E4" s="921">
        <f>'Edition 1'!I22</f>
        <v>112.48298319327729</v>
      </c>
      <c r="F4" s="921"/>
      <c r="G4" s="922"/>
      <c r="J4" s="923"/>
      <c r="K4" s="919" t="s">
        <v>712</v>
      </c>
      <c r="L4" s="919" t="s">
        <v>713</v>
      </c>
      <c r="M4" s="544"/>
      <c r="N4" s="544"/>
      <c r="O4" s="917"/>
    </row>
    <row r="5" spans="1:15" ht="12.75">
      <c r="A5" s="913" t="str">
        <f>IF(Référentiel!E5&lt;&gt;"",Référentiel!E5,"")</f>
        <v>LAITIER  pâturage DIAPASON Estimé 2014</v>
      </c>
      <c r="C5" s="918" t="s">
        <v>714</v>
      </c>
      <c r="D5" s="921" t="e">
        <f>'Edition 1'!H21</f>
        <v>#DIV/0!</v>
      </c>
      <c r="E5" s="921">
        <f>'Edition 1'!I21</f>
        <v>50.94371143709712</v>
      </c>
      <c r="F5" s="921"/>
      <c r="G5" s="922"/>
      <c r="J5" s="924">
        <v>-0.5</v>
      </c>
      <c r="K5" s="925" t="e">
        <f>'Edition 1'!$B$9-'Edition 1'!$B$44+($J5*SMIC/$C$44)-'Edition 1'!$B$49-'Edition 1'!$B$51-'Edition 1'!$B$53-'Edition 1'!$B$54</f>
        <v>#DIV/0!</v>
      </c>
      <c r="L5" s="925">
        <f>'Edition 1'!$C$9-'Edition 1'!$C$44+(J5*SMIC/$D$44)-'Edition 1'!$C$49-'Edition 1'!$C$51-'Edition 1'!$C$53-'Edition 1'!$C$54</f>
        <v>429.4731392833221</v>
      </c>
      <c r="M5" s="544"/>
      <c r="N5" s="544"/>
      <c r="O5" s="917"/>
    </row>
    <row r="6" spans="1:15" ht="12.75">
      <c r="A6" s="913" t="str">
        <f>IF(Référentiel!F5&lt;&gt;"",Référentiel!F5,"")</f>
        <v>LAITIER 0 PAT DIAPASON 2013</v>
      </c>
      <c r="C6" s="918" t="s">
        <v>428</v>
      </c>
      <c r="D6" s="921" t="e">
        <f>'Edition 1'!H20</f>
        <v>#DIV/0!</v>
      </c>
      <c r="E6" s="921">
        <f>'Edition 1'!I20</f>
        <v>118.9075630252101</v>
      </c>
      <c r="F6" s="921"/>
      <c r="G6" s="922"/>
      <c r="J6" s="924">
        <v>0</v>
      </c>
      <c r="K6" s="925" t="e">
        <f>'Edition 1'!$B$9-'Edition 1'!$B$44+($J6*SMIC/$C$44)-'Edition 1'!$B$49-'Edition 1'!$B$51-'Edition 1'!$B$53-'Edition 1'!$B$54</f>
        <v>#DIV/0!</v>
      </c>
      <c r="L6" s="925">
        <f>'Edition 1'!$C$9-'Edition 1'!$C$44+(J6*SMIC/$D$44)-'Edition 1'!$C$49-'Edition 1'!$C$51-'Edition 1'!$C$53-'Edition 1'!$C$54</f>
        <v>487.66841006412665</v>
      </c>
      <c r="M6" s="544"/>
      <c r="N6" s="544"/>
      <c r="O6" s="917"/>
    </row>
    <row r="7" spans="1:15" ht="12.75">
      <c r="A7" s="913" t="str">
        <f>IF(Référentiel!G5&lt;&gt;"",Référentiel!G5,"")</f>
        <v>LAITIER 0 PAT DIAPASON Estimé 2014</v>
      </c>
      <c r="C7" s="918" t="s">
        <v>620</v>
      </c>
      <c r="D7" s="921" t="e">
        <f>'Edition 1'!H19</f>
        <v>#DIV/0!</v>
      </c>
      <c r="E7" s="921">
        <f>'Edition 1'!I19</f>
        <v>0</v>
      </c>
      <c r="F7" s="921"/>
      <c r="G7" s="922"/>
      <c r="J7" s="924">
        <v>0.5</v>
      </c>
      <c r="K7" s="925" t="e">
        <f>'Edition 1'!$B$9-'Edition 1'!$B$44+($J7*SMIC/$C$44)-'Edition 1'!$B$49-'Edition 1'!$B$51-'Edition 1'!$B$53-'Edition 1'!$B$54</f>
        <v>#DIV/0!</v>
      </c>
      <c r="L7" s="925">
        <f>'Edition 1'!$C$9-'Edition 1'!$C$44+(J7*SMIC/$D$44)-'Edition 1'!$C$49-'Edition 1'!$C$51-'Edition 1'!$C$53-'Edition 1'!$C$54</f>
        <v>545.8636808449312</v>
      </c>
      <c r="M7" s="544"/>
      <c r="N7" s="544"/>
      <c r="O7" s="917"/>
    </row>
    <row r="8" spans="1:15" ht="12.75">
      <c r="A8" s="913" t="str">
        <f>IF(Référentiel!H5&lt;&gt;"",Référentiel!H5,"")</f>
        <v>CAP FROM SPE PATURAGE 2014</v>
      </c>
      <c r="C8" s="918" t="s">
        <v>292</v>
      </c>
      <c r="D8" s="921" t="e">
        <f>'Edition 1'!H18</f>
        <v>#N/A</v>
      </c>
      <c r="E8" s="921">
        <f>'Edition 1'!I18</f>
        <v>41.32311195920986</v>
      </c>
      <c r="F8" s="921"/>
      <c r="G8" s="922"/>
      <c r="J8" s="924">
        <v>1</v>
      </c>
      <c r="K8" s="925" t="e">
        <f>'Edition 1'!$B$9-'Edition 1'!$B$44+($J8*SMIC/$C$44)-'Edition 1'!$B$49-'Edition 1'!$B$51-'Edition 1'!$B$53-'Edition 1'!$B$54</f>
        <v>#DIV/0!</v>
      </c>
      <c r="L8" s="925">
        <f>'Edition 1'!$C$9-'Edition 1'!$C$44+(J8*SMIC/$D$44)-'Edition 1'!$C$49-'Edition 1'!$C$51-'Edition 1'!$C$53-'Edition 1'!$C$54</f>
        <v>604.0589516257357</v>
      </c>
      <c r="M8" s="544"/>
      <c r="N8" s="544"/>
      <c r="O8" s="917"/>
    </row>
    <row r="9" spans="1:15" ht="12.75">
      <c r="A9" s="913" t="str">
        <f>IF(Référentiel!I5&lt;&gt;"",Référentiel!I5,"")</f>
        <v>LIVREUR SPE PATURAGE 2014</v>
      </c>
      <c r="C9" s="918" t="str">
        <f>'Edition 1'!E17</f>
        <v>Mécanisation</v>
      </c>
      <c r="D9" s="921" t="e">
        <f>'Edition 1'!H17</f>
        <v>#N/A</v>
      </c>
      <c r="E9" s="921">
        <f>'Edition 1'!I17</f>
        <v>152.6392781345657</v>
      </c>
      <c r="F9" s="921"/>
      <c r="G9" s="922"/>
      <c r="J9" s="924">
        <v>1.5</v>
      </c>
      <c r="K9" s="925" t="e">
        <f>'Edition 1'!$B$9-'Edition 1'!$B$44+($J9*SMIC/$C$44)-'Edition 1'!$B$49-'Edition 1'!$B$51-'Edition 1'!$B$53-'Edition 1'!$B$54</f>
        <v>#DIV/0!</v>
      </c>
      <c r="L9" s="925">
        <f>'Edition 1'!$C$9-'Edition 1'!$C$44+(J9*SMIC/$D$44)-'Edition 1'!$C$49-'Edition 1'!$C$51-'Edition 1'!$C$53-'Edition 1'!$C$54</f>
        <v>662.2542224065403</v>
      </c>
      <c r="M9" s="544"/>
      <c r="N9" s="544"/>
      <c r="O9" s="917"/>
    </row>
    <row r="10" spans="1:15" ht="12.75">
      <c r="A10" s="913" t="str">
        <f>IF(Référentiel!J5&lt;&gt;"",Référentiel!J5,"")</f>
        <v>LIVREUR SPE 0 PAT        SAISON 2014</v>
      </c>
      <c r="C10" s="918" t="str">
        <f>'Edition 1'!E16</f>
        <v>Bâtiments</v>
      </c>
      <c r="D10" s="921" t="e">
        <f>'Edition 1'!H16</f>
        <v>#N/A</v>
      </c>
      <c r="E10" s="921">
        <f>'Edition 1'!I16</f>
        <v>151.1701937456133</v>
      </c>
      <c r="F10" s="921"/>
      <c r="G10" s="922"/>
      <c r="J10" s="924">
        <v>2</v>
      </c>
      <c r="K10" s="925" t="e">
        <f>'Edition 1'!$B$9-'Edition 1'!$B$44+($J10*SMIC/$C$44)-'Edition 1'!$B$49-'Edition 1'!$B$51-'Edition 1'!$B$53-'Edition 1'!$B$54</f>
        <v>#DIV/0!</v>
      </c>
      <c r="L10" s="925">
        <f>'Edition 1'!$C$9-'Edition 1'!$C$44+(J10*SMIC/$D$44)-'Edition 1'!$C$49-'Edition 1'!$C$51-'Edition 1'!$C$53-'Edition 1'!$C$54</f>
        <v>720.4494931873448</v>
      </c>
      <c r="M10" s="544"/>
      <c r="N10" s="544"/>
      <c r="O10" s="917"/>
    </row>
    <row r="11" spans="1:15" ht="12.75">
      <c r="A11" s="913" t="str">
        <f>IF(Référentiel!K5&lt;&gt;"",Référentiel!K5,"")</f>
        <v>LIVREUR SPE 0 PAT        DESAISONNE 2014</v>
      </c>
      <c r="C11" s="918" t="str">
        <f>'Edition 1'!E15</f>
        <v>Capital</v>
      </c>
      <c r="D11" s="921" t="e">
        <f>'Edition 1'!H15</f>
        <v>#DIV/0!</v>
      </c>
      <c r="E11" s="921">
        <f>'Edition 1'!I15</f>
        <v>68.15640046345905</v>
      </c>
      <c r="F11" s="921"/>
      <c r="G11" s="922"/>
      <c r="J11" s="924">
        <v>2.5</v>
      </c>
      <c r="K11" s="925" t="e">
        <f>'Edition 1'!$B$9-'Edition 1'!$B$44+($J11*SMIC/$C$44)-'Edition 1'!$B$49-'Edition 1'!$B$51-'Edition 1'!$B$53-'Edition 1'!$B$54</f>
        <v>#DIV/0!</v>
      </c>
      <c r="L11" s="925">
        <f>'Edition 1'!$C$9-'Edition 1'!$C$44+(J11*SMIC/$D$44)-'Edition 1'!$C$49-'Edition 1'!$C$51-'Edition 1'!$C$53-'Edition 1'!$C$54</f>
        <v>778.6447639681494</v>
      </c>
      <c r="M11" s="544"/>
      <c r="N11" s="544"/>
      <c r="O11" s="917"/>
    </row>
    <row r="12" spans="1:15" ht="12.75">
      <c r="A12" s="913" t="str">
        <f>IF(Référentiel!L5&lt;&gt;"",Référentiel!L5,"")</f>
        <v>Laitier avec pâturage revu2016 
2017</v>
      </c>
      <c r="C12" s="918" t="str">
        <f>'Edition 1'!E14</f>
        <v>Travail</v>
      </c>
      <c r="D12" s="921" t="e">
        <f>'Edition 1'!H14</f>
        <v>#N/A</v>
      </c>
      <c r="E12" s="921">
        <f>'Edition 1'!I14</f>
        <v>232.78108312321822</v>
      </c>
      <c r="F12" s="921"/>
      <c r="G12" s="922"/>
      <c r="J12" s="924">
        <f>J11+0.5</f>
        <v>3</v>
      </c>
      <c r="K12" s="925" t="e">
        <f>'Edition 1'!$B$9-'Edition 1'!$B$44+($J12*SMIC/$C$44)-'Edition 1'!$B$49-'Edition 1'!$B$51-'Edition 1'!$B$53-'Edition 1'!$B$54</f>
        <v>#DIV/0!</v>
      </c>
      <c r="L12" s="925">
        <f>'Edition 1'!$C$9-'Edition 1'!$C$44+(J12*SMIC/$D$44)-'Edition 1'!$C$49-'Edition 1'!$C$51-'Edition 1'!$C$53-'Edition 1'!$C$54</f>
        <v>836.8400347489539</v>
      </c>
      <c r="M12" s="544"/>
      <c r="N12" s="544"/>
      <c r="O12" s="917"/>
    </row>
    <row r="13" spans="1:15" ht="12.75">
      <c r="A13" s="913" t="str">
        <f>IF(Référentiel!M5&lt;&gt;"",Référentiel!M5,"")</f>
        <v>FROMAGER MOYEN VOLUME
2017</v>
      </c>
      <c r="C13" s="918" t="s">
        <v>630</v>
      </c>
      <c r="D13" s="578"/>
      <c r="E13" s="578"/>
      <c r="F13" s="921" t="e">
        <f>'Edition 1'!H28</f>
        <v>#DIV/0!</v>
      </c>
      <c r="G13" s="926">
        <f>'Edition 1'!I28</f>
        <v>197.40861340691063</v>
      </c>
      <c r="J13" s="924">
        <f>J12+0.5</f>
        <v>3.5</v>
      </c>
      <c r="K13" s="925" t="e">
        <f>'Edition 1'!$B$9-'Edition 1'!$B$44+($J13*SMIC/$C$44)-'Edition 1'!$B$49-'Edition 1'!$B$51-'Edition 1'!$B$53-'Edition 1'!$B$54</f>
        <v>#DIV/0!</v>
      </c>
      <c r="L13" s="925">
        <f>'Edition 1'!$C$9-'Edition 1'!$C$44+(J13*SMIC/$D$44)-'Edition 1'!$C$49-'Edition 1'!$C$51-'Edition 1'!$C$53-'Edition 1'!$C$54</f>
        <v>895.0353055297587</v>
      </c>
      <c r="M13" s="544"/>
      <c r="N13" s="544"/>
      <c r="O13" s="917"/>
    </row>
    <row r="14" spans="1:15" ht="12.75">
      <c r="A14" s="913" t="str">
        <f>IF(Référentiel!N5&lt;&gt;"",Référentiel!N5,"")</f>
        <v>LIVREUR SPE EN ZP NORD RA
2017</v>
      </c>
      <c r="C14" s="918" t="str">
        <f>'Edition 1'!E27</f>
        <v>Produits joints</v>
      </c>
      <c r="D14" s="578"/>
      <c r="E14" s="578"/>
      <c r="F14" s="921" t="e">
        <f>'Edition 1'!H27</f>
        <v>#DIV/0!</v>
      </c>
      <c r="G14" s="926">
        <f>'Edition 1'!I27</f>
        <v>10.546218487394958</v>
      </c>
      <c r="J14" s="924">
        <f>J13+0.5</f>
        <v>4</v>
      </c>
      <c r="K14" s="925" t="e">
        <f>'Edition 1'!$B$9-'Edition 1'!$B$44+($J14*SMIC/$C$44)-'Edition 1'!$B$49-'Edition 1'!$B$51-'Edition 1'!$B$53-'Edition 1'!$B$54</f>
        <v>#DIV/0!</v>
      </c>
      <c r="L14" s="925">
        <f>'Edition 1'!$C$9-'Edition 1'!$C$44+(J14*SMIC/$D$44)-'Edition 1'!$C$49-'Edition 1'!$C$51-'Edition 1'!$C$53-'Edition 1'!$C$54</f>
        <v>953.2305763105633</v>
      </c>
      <c r="M14" s="544"/>
      <c r="N14" s="544"/>
      <c r="O14" s="917"/>
    </row>
    <row r="15" spans="1:15" ht="12.75">
      <c r="A15" s="913" t="str">
        <f>IF(Référentiel!O5&lt;&gt;"",Référentiel!O5,"")</f>
        <v>FROMAGER PETIT VOLUME
2017</v>
      </c>
      <c r="C15" s="927" t="s">
        <v>627</v>
      </c>
      <c r="D15" s="928"/>
      <c r="E15" s="928"/>
      <c r="F15" s="929">
        <f>'Edition 1'!H26</f>
        <v>0</v>
      </c>
      <c r="G15" s="930">
        <f>'Edition 1'!I26</f>
        <v>688</v>
      </c>
      <c r="J15" s="931" t="e">
        <f>'Edition 1'!B$59</f>
        <v>#DIV/0!</v>
      </c>
      <c r="K15" s="544"/>
      <c r="L15" s="544"/>
      <c r="M15" s="932">
        <f>'Edition 1'!B$48</f>
        <v>0</v>
      </c>
      <c r="N15" s="544"/>
      <c r="O15" s="917"/>
    </row>
    <row r="16" spans="1:15" ht="12.75">
      <c r="A16" s="913"/>
      <c r="C16" s="578"/>
      <c r="D16" s="578"/>
      <c r="E16" s="578"/>
      <c r="F16" s="921"/>
      <c r="G16" s="921"/>
      <c r="J16" s="933">
        <f>'Edition 1'!C$59</f>
        <v>1.7212016307169746</v>
      </c>
      <c r="K16" s="934"/>
      <c r="L16" s="934"/>
      <c r="M16" s="934"/>
      <c r="N16" s="935">
        <f>'Edition 1'!C$48</f>
        <v>688</v>
      </c>
      <c r="O16" s="936"/>
    </row>
    <row r="17" ht="12.75">
      <c r="A17" s="913"/>
    </row>
    <row r="18" ht="12.75">
      <c r="A18" s="913"/>
    </row>
    <row r="19" ht="12.75">
      <c r="A19" s="913"/>
    </row>
    <row r="20" spans="1:15" ht="12.75">
      <c r="A20" s="937"/>
      <c r="C20" s="938" t="s">
        <v>715</v>
      </c>
      <c r="D20" s="911"/>
      <c r="E20" s="911"/>
      <c r="F20" s="911"/>
      <c r="G20" s="911"/>
      <c r="H20" s="912"/>
      <c r="J20" s="939" t="s">
        <v>716</v>
      </c>
      <c r="K20" s="940"/>
      <c r="L20" s="940"/>
      <c r="M20" s="940"/>
      <c r="N20" s="940"/>
      <c r="O20" s="941"/>
    </row>
    <row r="21" spans="1:15" ht="12.75">
      <c r="A21" s="532">
        <f>IF(Référentiel!AZ$5&lt;&gt;"",Référentiel!AZ$5,"")</f>
      </c>
      <c r="C21" s="942"/>
      <c r="D21" s="544"/>
      <c r="E21" s="544"/>
      <c r="F21" s="544"/>
      <c r="G21" s="544"/>
      <c r="H21" s="917"/>
      <c r="J21" s="943"/>
      <c r="K21" s="544"/>
      <c r="L21" s="544"/>
      <c r="M21" s="544"/>
      <c r="N21" s="544"/>
      <c r="O21" s="915"/>
    </row>
    <row r="22" spans="1:15" ht="12.75">
      <c r="A22" s="532">
        <f>IF(Référentiel!BA$5&lt;&gt;"",Référentiel!BA$5,"")</f>
      </c>
      <c r="C22" s="944"/>
      <c r="D22" s="919" t="s">
        <v>680</v>
      </c>
      <c r="E22" s="919" t="s">
        <v>45</v>
      </c>
      <c r="F22" s="919" t="s">
        <v>680</v>
      </c>
      <c r="G22" s="919" t="s">
        <v>45</v>
      </c>
      <c r="H22" s="917"/>
      <c r="J22" s="943"/>
      <c r="K22" s="544"/>
      <c r="L22" s="544"/>
      <c r="M22" s="544"/>
      <c r="N22" s="544"/>
      <c r="O22" s="915"/>
    </row>
    <row r="23" spans="1:15" ht="12.75">
      <c r="A23" s="532">
        <f>IF(Référentiel!BB$5&lt;&gt;"",Référentiel!BB$5,"")</f>
      </c>
      <c r="C23" s="945" t="str">
        <f>Simulation!I14</f>
        <v>Aliments achetés</v>
      </c>
      <c r="D23" s="921" t="e">
        <f>Simulation!J14</f>
        <v>#DIV/0!</v>
      </c>
      <c r="E23" s="921" t="e">
        <f>Simulation!K14</f>
        <v>#DIV/0!</v>
      </c>
      <c r="F23" s="921"/>
      <c r="G23" s="578"/>
      <c r="H23" s="917"/>
      <c r="J23" s="946"/>
      <c r="K23" s="919" t="s">
        <v>680</v>
      </c>
      <c r="L23" s="919" t="s">
        <v>45</v>
      </c>
      <c r="M23" s="544"/>
      <c r="N23" s="544"/>
      <c r="O23" s="915"/>
    </row>
    <row r="24" spans="1:15" ht="12.75">
      <c r="A24" s="532">
        <f>IF(Référentiel!BC$5&lt;&gt;"",Référentiel!BC$5,"")</f>
      </c>
      <c r="C24" s="945" t="str">
        <f>Simulation!I18</f>
        <v>Frais transfo et com.</v>
      </c>
      <c r="D24" s="921" t="e">
        <f>Simulation!J18</f>
        <v>#DIV/0!</v>
      </c>
      <c r="E24" s="921" t="e">
        <f>Simulation!K18</f>
        <v>#DIV/0!</v>
      </c>
      <c r="F24" s="921"/>
      <c r="G24" s="578"/>
      <c r="H24" s="917"/>
      <c r="J24" s="947">
        <v>-0.5</v>
      </c>
      <c r="K24" s="925" t="e">
        <f>Simulation!F$9-Simulation!F$44+($J24*SMIC/$C$44)-Simulation!F$49-Simulation!F$51-Simulation!F$52-Simulation!F$53</f>
        <v>#DIV/0!</v>
      </c>
      <c r="L24" s="925" t="e">
        <f>Simulation!G$9-Simulation!G$44+($J24*SMICSIM/$E$44)-Simulation!G$49-Simulation!G$51-Simulation!G$52-Simulation!G$53</f>
        <v>#DIV/0!</v>
      </c>
      <c r="M24" s="544"/>
      <c r="N24" s="544"/>
      <c r="O24" s="915"/>
    </row>
    <row r="25" spans="1:15" ht="12.75">
      <c r="A25" s="532">
        <f>IF(Référentiel!BD$5&lt;&gt;"",Référentiel!BD$5,"")</f>
      </c>
      <c r="C25" s="945" t="str">
        <f>Simulation!I19</f>
        <v>Mécanisation</v>
      </c>
      <c r="D25" s="921" t="e">
        <f>Simulation!J19</f>
        <v>#N/A</v>
      </c>
      <c r="E25" s="921" t="e">
        <f>Simulation!K19</f>
        <v>#N/A</v>
      </c>
      <c r="F25" s="921"/>
      <c r="G25" s="578"/>
      <c r="H25" s="917"/>
      <c r="J25" s="947">
        <v>0</v>
      </c>
      <c r="K25" s="925" t="e">
        <f>Simulation!F$9-Simulation!F$44+($J25*SMIC/$C$44)-Simulation!F$49-Simulation!F$51-Simulation!F$52-Simulation!F$53</f>
        <v>#DIV/0!</v>
      </c>
      <c r="L25" s="925" t="e">
        <f>Simulation!G$9-Simulation!G$44+($J25*SMICSIM/$E$44)-Simulation!G$49-Simulation!G$51-Simulation!G$52-Simulation!G$53</f>
        <v>#DIV/0!</v>
      </c>
      <c r="M25" s="544"/>
      <c r="N25" s="544"/>
      <c r="O25" s="915"/>
    </row>
    <row r="26" spans="1:15" ht="12.75">
      <c r="A26" s="532">
        <f>IF(Référentiel!BE$5&lt;&gt;"",Référentiel!BE$5,"")</f>
      </c>
      <c r="C26" s="945" t="str">
        <f>Simulation!I20</f>
        <v>Bâtiments</v>
      </c>
      <c r="D26" s="921" t="e">
        <f>Simulation!J20</f>
        <v>#N/A</v>
      </c>
      <c r="E26" s="921" t="e">
        <f>Simulation!K20</f>
        <v>#N/A</v>
      </c>
      <c r="F26" s="921"/>
      <c r="G26" s="578"/>
      <c r="H26" s="917"/>
      <c r="J26" s="947">
        <v>0.5</v>
      </c>
      <c r="K26" s="925" t="e">
        <f>Simulation!F$9-Simulation!F$44+($J26*SMIC/$C$44)-Simulation!F$49-Simulation!F$51-Simulation!F$52-Simulation!F$53</f>
        <v>#DIV/0!</v>
      </c>
      <c r="L26" s="925" t="e">
        <f>Simulation!G$9-Simulation!G$44+($J26*SMICSIM/$E$44)-Simulation!G$49-Simulation!G$51-Simulation!G$52-Simulation!G$53</f>
        <v>#DIV/0!</v>
      </c>
      <c r="M26" s="544"/>
      <c r="N26" s="544"/>
      <c r="O26" s="915"/>
    </row>
    <row r="27" spans="1:15" ht="12.75">
      <c r="A27" s="532">
        <f>IF(Référentiel!BF$5&lt;&gt;"",Référentiel!BF$5,"")</f>
      </c>
      <c r="C27" s="945" t="str">
        <f>Simulation!I21</f>
        <v>Capital</v>
      </c>
      <c r="D27" s="921" t="e">
        <f>Simulation!J21</f>
        <v>#DIV/0!</v>
      </c>
      <c r="E27" s="921" t="e">
        <f>Simulation!K21</f>
        <v>#DIV/0!</v>
      </c>
      <c r="F27" s="921"/>
      <c r="G27" s="578"/>
      <c r="H27" s="917"/>
      <c r="J27" s="947">
        <v>1</v>
      </c>
      <c r="K27" s="925" t="e">
        <f>Simulation!F$9-Simulation!F$44+($J27*SMIC/$C$44)-Simulation!F$49-Simulation!F$51-Simulation!F$52-Simulation!F$53</f>
        <v>#DIV/0!</v>
      </c>
      <c r="L27" s="925" t="e">
        <f>Simulation!G$9-Simulation!G$44+($J27*SMICSIM/$E$44)-Simulation!G$49-Simulation!G$51-Simulation!G$52-Simulation!G$53</f>
        <v>#DIV/0!</v>
      </c>
      <c r="M27" s="544"/>
      <c r="N27" s="544"/>
      <c r="O27" s="915"/>
    </row>
    <row r="28" spans="1:15" ht="12.75">
      <c r="A28" s="532">
        <f>IF(Référentiel!BG$5&lt;&gt;"",Référentiel!BG$5,"")</f>
      </c>
      <c r="C28" s="945" t="str">
        <f>Simulation!I22</f>
        <v>Travail</v>
      </c>
      <c r="D28" s="921" t="e">
        <f>Simulation!J22</f>
        <v>#N/A</v>
      </c>
      <c r="E28" s="921" t="e">
        <f>Simulation!K22</f>
        <v>#N/A</v>
      </c>
      <c r="F28" s="921"/>
      <c r="G28" s="578"/>
      <c r="H28" s="917"/>
      <c r="J28" s="947">
        <v>1.5</v>
      </c>
      <c r="K28" s="925" t="e">
        <f>Simulation!F$9-Simulation!F$44+($J28*SMIC/$C$44)-Simulation!F$49-Simulation!F$51-Simulation!F$52-Simulation!F$53</f>
        <v>#DIV/0!</v>
      </c>
      <c r="L28" s="925" t="e">
        <f>Simulation!G$9-Simulation!G$44+($J28*SMICSIM/$E$44)-Simulation!G$49-Simulation!G$51-Simulation!G$52-Simulation!G$53</f>
        <v>#DIV/0!</v>
      </c>
      <c r="M28" s="544"/>
      <c r="N28" s="544"/>
      <c r="O28" s="915"/>
    </row>
    <row r="29" spans="1:15" ht="12.75">
      <c r="A29" s="532">
        <f>IF(Référentiel!BH$5&lt;&gt;"",Référentiel!BH$5,"")</f>
      </c>
      <c r="C29" s="945" t="str">
        <f>Simulation!I26</f>
        <v>Lait commercialisé</v>
      </c>
      <c r="D29" s="578"/>
      <c r="E29" s="578"/>
      <c r="F29" s="921">
        <f>Simulation!J26</f>
        <v>0</v>
      </c>
      <c r="G29" s="921">
        <f>Simulation!K26</f>
        <v>0</v>
      </c>
      <c r="H29" s="917"/>
      <c r="J29" s="947">
        <v>2</v>
      </c>
      <c r="K29" s="925" t="e">
        <f>Simulation!F$9-Simulation!F$44+($J29*SMIC/$C$44)-Simulation!F$49-Simulation!F$51-Simulation!F$52-Simulation!F$53</f>
        <v>#DIV/0!</v>
      </c>
      <c r="L29" s="925" t="e">
        <f>Simulation!G$9-Simulation!G$44+($J29*SMICSIM/$E$44)-Simulation!G$49-Simulation!G$51-Simulation!G$52-Simulation!G$53</f>
        <v>#DIV/0!</v>
      </c>
      <c r="M29" s="544"/>
      <c r="N29" s="544"/>
      <c r="O29" s="915"/>
    </row>
    <row r="30" spans="1:15" ht="12.75">
      <c r="A30" s="532">
        <f>IF(Référentiel!BI$5&lt;&gt;"",Référentiel!BI$5,"")</f>
      </c>
      <c r="C30" s="945" t="str">
        <f>Simulation!I27</f>
        <v>Viande et autres pdts</v>
      </c>
      <c r="D30" s="578"/>
      <c r="E30" s="578"/>
      <c r="F30" s="921" t="e">
        <f>Simulation!J27</f>
        <v>#DIV/0!</v>
      </c>
      <c r="G30" s="921" t="e">
        <f>Simulation!K27</f>
        <v>#DIV/0!</v>
      </c>
      <c r="H30" s="917"/>
      <c r="J30" s="947">
        <v>2.5</v>
      </c>
      <c r="K30" s="925" t="e">
        <f>Simulation!F$9-Simulation!F$44+($J30*SMIC/$C$44)-Simulation!F$49-Simulation!F$51-Simulation!F$52-Simulation!F$53</f>
        <v>#DIV/0!</v>
      </c>
      <c r="L30" s="925" t="e">
        <f>Simulation!G$9-Simulation!G$44+($J30*SMICSIM/$E$44)-Simulation!G$49-Simulation!G$51-Simulation!G$52-Simulation!G$53</f>
        <v>#DIV/0!</v>
      </c>
      <c r="M30" s="544"/>
      <c r="N30" s="544"/>
      <c r="O30" s="915"/>
    </row>
    <row r="31" spans="1:15" ht="12.75">
      <c r="A31" s="532">
        <f>IF(Référentiel!CC$5&lt;&gt;"",Référentiel!CC$5,"")</f>
      </c>
      <c r="C31" s="945" t="str">
        <f>Simulation!I28</f>
        <v>Aides</v>
      </c>
      <c r="D31" s="578"/>
      <c r="E31" s="578"/>
      <c r="F31" s="921" t="e">
        <f>Simulation!J28</f>
        <v>#DIV/0!</v>
      </c>
      <c r="G31" s="921" t="e">
        <f>Simulation!K28</f>
        <v>#DIV/0!</v>
      </c>
      <c r="H31" s="917"/>
      <c r="J31" s="947">
        <f>J30+0.5</f>
        <v>3</v>
      </c>
      <c r="K31" s="925" t="e">
        <f>Simulation!F$9-Simulation!F$44+($J31*SMIC/$C$44)-Simulation!F$49-Simulation!F$51-Simulation!F$52-Simulation!F$53</f>
        <v>#DIV/0!</v>
      </c>
      <c r="L31" s="925" t="e">
        <f>Simulation!G$9-Simulation!G$44+($J31*SMICSIM/$E$44)-Simulation!G$49-Simulation!G$51-Simulation!G$52-Simulation!G$53</f>
        <v>#DIV/0!</v>
      </c>
      <c r="M31" s="544"/>
      <c r="N31" s="544"/>
      <c r="O31" s="915"/>
    </row>
    <row r="32" spans="1:15" ht="12.75">
      <c r="A32" s="532">
        <f>IF(Référentiel!CD$5&lt;&gt;"",Référentiel!CD$5,"")</f>
      </c>
      <c r="C32" s="948"/>
      <c r="D32" s="934"/>
      <c r="E32" s="934"/>
      <c r="F32" s="934"/>
      <c r="G32" s="934"/>
      <c r="H32" s="936"/>
      <c r="J32" s="947">
        <f>J31+0.5</f>
        <v>3.5</v>
      </c>
      <c r="K32" s="925" t="e">
        <f>Simulation!F$9-Simulation!F$44+($J32*SMIC/$C$44)-Simulation!F$49-Simulation!F$51-Simulation!F$52-Simulation!F$53</f>
        <v>#DIV/0!</v>
      </c>
      <c r="L32" s="925" t="e">
        <f>Simulation!G$9-Simulation!G$44+($J32*SMICSIM/$E$44)-Simulation!G$49-Simulation!G$51-Simulation!G$52-Simulation!G$53</f>
        <v>#DIV/0!</v>
      </c>
      <c r="M32" s="544"/>
      <c r="N32" s="544"/>
      <c r="O32" s="915"/>
    </row>
    <row r="33" spans="1:15" ht="12.75">
      <c r="A33" s="532"/>
      <c r="J33" s="949" t="e">
        <f>Simulation!F$59</f>
        <v>#DIV/0!</v>
      </c>
      <c r="K33" s="544"/>
      <c r="L33" s="544"/>
      <c r="M33" s="950">
        <f>Simulation!F$48</f>
        <v>0</v>
      </c>
      <c r="N33" s="544"/>
      <c r="O33" s="915"/>
    </row>
    <row r="34" spans="1:15" ht="12.75">
      <c r="A34" s="532"/>
      <c r="J34" s="951" t="e">
        <f>Simulation!G$59</f>
        <v>#DIV/0!</v>
      </c>
      <c r="K34" s="952"/>
      <c r="L34" s="952"/>
      <c r="M34" s="952"/>
      <c r="N34" s="953">
        <f>Simulation!G$48</f>
        <v>0</v>
      </c>
      <c r="O34" s="954"/>
    </row>
    <row r="35" ht="12.75">
      <c r="A35" s="532"/>
    </row>
    <row r="36" ht="12.75">
      <c r="A36" s="532"/>
    </row>
    <row r="37" ht="12.75">
      <c r="A37" s="532"/>
    </row>
    <row r="38" ht="12.75">
      <c r="A38" s="532"/>
    </row>
    <row r="39" spans="1:5" ht="15.75">
      <c r="A39" s="955" t="s">
        <v>717</v>
      </c>
      <c r="B39" s="956"/>
      <c r="C39" s="957">
        <f>Simulation!G6-1</f>
        <v>2013</v>
      </c>
      <c r="D39" s="957" t="s">
        <v>718</v>
      </c>
      <c r="E39" s="958">
        <f>Simulation!G6</f>
        <v>2014</v>
      </c>
    </row>
    <row r="40" spans="1:7" ht="12.75">
      <c r="A40" s="959" t="s">
        <v>719</v>
      </c>
      <c r="B40" s="960"/>
      <c r="C40" s="961">
        <f>UMOns+UMOs</f>
        <v>0</v>
      </c>
      <c r="D40" s="962">
        <f>HLOOKUP('Edition 1'!C6,refdata,(68),FALSE)+D41</f>
        <v>1.5</v>
      </c>
      <c r="E40" s="963"/>
      <c r="G40" s="964"/>
    </row>
    <row r="41" spans="1:7" ht="12.75">
      <c r="A41" s="959" t="s">
        <v>720</v>
      </c>
      <c r="B41" s="960"/>
      <c r="C41" s="961">
        <f>UMOns</f>
        <v>0</v>
      </c>
      <c r="D41" s="962">
        <f>HLOOKUP('Edition 1'!C6,refdata,67,FALSE)</f>
        <v>1.5</v>
      </c>
      <c r="E41" s="963"/>
      <c r="G41" s="964"/>
    </row>
    <row r="42" spans="1:7" ht="25.5">
      <c r="A42" s="965" t="s">
        <v>721</v>
      </c>
      <c r="B42" s="960"/>
      <c r="C42" s="962" t="e">
        <f>IF(AND(MOREP&gt;0,PAUMO=""),B85+B89*B95,UMOns*(Calcul!C68+Calcul!F68)/Calcul!B68)</f>
        <v>#N/A</v>
      </c>
      <c r="D42" s="962">
        <f>HLOOKUP('Edition 1'!$C$6,refdata,69,FALSE)</f>
        <v>1.4982250278839842</v>
      </c>
      <c r="E42" s="966" t="e">
        <f>Simulation!G61*(UMOnsTOTCAP/(UMOnsTOTCAP+UMOSATOTCAP))</f>
        <v>#N/A</v>
      </c>
      <c r="G42" s="964"/>
    </row>
    <row r="43" spans="1:7" ht="25.5">
      <c r="A43" s="965" t="s">
        <v>722</v>
      </c>
      <c r="B43" s="960"/>
      <c r="C43" s="962" t="e">
        <f>IF(AND(MOREP&gt;0,PAUMO=""),B86+B90*B95,UMOs*(Calcul!C60+Calcul!F60)/Calcul!B60)</f>
        <v>#N/A</v>
      </c>
      <c r="D43" s="962">
        <f>HLOOKUP('Edition 1'!C6,refdata,49,FALSE)-D42</f>
        <v>0</v>
      </c>
      <c r="E43" s="966"/>
      <c r="G43" s="964"/>
    </row>
    <row r="44" spans="1:5" ht="25.5">
      <c r="A44" s="965" t="s">
        <v>723</v>
      </c>
      <c r="B44" s="960"/>
      <c r="C44" s="962" t="e">
        <f>(LCB/UMOnsTOTCAP)</f>
        <v>#N/A</v>
      </c>
      <c r="D44" s="967">
        <f>HLOOKUP('Edition 1'!$C$6,refdata,70,FALSE)</f>
        <v>158.8546417063523</v>
      </c>
      <c r="E44" s="968" t="e">
        <f>C44*UMOnsTOTCAP*(1+Simulation!C48)/Cuisine!E42</f>
        <v>#N/A</v>
      </c>
    </row>
    <row r="45" spans="1:5" ht="25.5">
      <c r="A45" s="965" t="s">
        <v>724</v>
      </c>
      <c r="B45" s="960"/>
      <c r="C45" s="969" t="e">
        <f>C44*'Edition 1'!B57</f>
        <v>#N/A</v>
      </c>
      <c r="D45" s="969">
        <f>D44*'Edition 1'!C57</f>
        <v>31823.602941727062</v>
      </c>
      <c r="E45" s="963"/>
    </row>
    <row r="46" spans="1:5" ht="12.75">
      <c r="A46" s="970"/>
      <c r="B46" s="971"/>
      <c r="C46" s="972"/>
      <c r="D46" s="967"/>
      <c r="E46" s="963"/>
    </row>
    <row r="47" spans="1:5" ht="12.75">
      <c r="A47" s="965" t="s">
        <v>725</v>
      </c>
      <c r="B47" s="960"/>
      <c r="C47" s="972">
        <f>BRUT</f>
        <v>1.3</v>
      </c>
      <c r="D47" s="972">
        <f>BRUT</f>
        <v>1.3</v>
      </c>
      <c r="E47" s="963">
        <f>BRUT</f>
        <v>1.3</v>
      </c>
    </row>
    <row r="48" spans="1:5" ht="12.75">
      <c r="A48" s="973" t="s">
        <v>726</v>
      </c>
      <c r="B48" s="974"/>
      <c r="C48" s="975">
        <f>COCS*SMICNETAN</f>
        <v>18489.17777777772</v>
      </c>
      <c r="D48" s="975">
        <f>D47*SMICNETAN</f>
        <v>18489.17777777772</v>
      </c>
      <c r="E48" s="976">
        <f>E47*SMICNETAN*(1+Simulation!B44)</f>
        <v>18489.17777777772</v>
      </c>
    </row>
    <row r="49" spans="1:5" ht="12.75">
      <c r="A49" s="960"/>
      <c r="B49" s="960"/>
      <c r="C49" s="960"/>
      <c r="D49" s="960"/>
      <c r="E49" s="960"/>
    </row>
    <row r="50" spans="1:5" ht="12.75">
      <c r="A50" s="960"/>
      <c r="B50" s="960"/>
      <c r="C50" s="960"/>
      <c r="D50" s="960"/>
      <c r="E50" s="960"/>
    </row>
    <row r="51" spans="1:5" ht="12.75">
      <c r="A51" s="960"/>
      <c r="B51" s="960"/>
      <c r="C51" s="960"/>
      <c r="D51" s="960"/>
      <c r="E51" s="960"/>
    </row>
    <row r="52" spans="1:6" ht="12.75">
      <c r="A52" s="960"/>
      <c r="B52" s="960"/>
      <c r="C52" s="960"/>
      <c r="D52" s="960"/>
      <c r="E52" s="960"/>
      <c r="F52" s="960"/>
    </row>
    <row r="53" spans="1:6" ht="12.75">
      <c r="A53" s="960"/>
      <c r="B53" s="960"/>
      <c r="C53" s="960"/>
      <c r="D53" s="960"/>
      <c r="E53" s="960"/>
      <c r="F53" s="960"/>
    </row>
    <row r="54" spans="1:8" ht="12.75">
      <c r="A54" s="960"/>
      <c r="B54" s="960"/>
      <c r="C54" s="960"/>
      <c r="D54" s="960"/>
      <c r="E54" s="960"/>
      <c r="F54" s="960"/>
      <c r="G54" s="960"/>
      <c r="H54" s="977"/>
    </row>
    <row r="55" spans="1:8" ht="12.75">
      <c r="A55" s="960"/>
      <c r="B55" s="960"/>
      <c r="C55" s="960"/>
      <c r="D55" s="960"/>
      <c r="E55" s="960"/>
      <c r="H55" s="978"/>
    </row>
    <row r="56" ht="12.75">
      <c r="H56" s="978"/>
    </row>
    <row r="57" spans="5:11" ht="12.75">
      <c r="E57" s="979"/>
      <c r="J57"/>
      <c r="K57" s="905"/>
    </row>
    <row r="58" spans="5:11" ht="12.75">
      <c r="E58" s="979"/>
      <c r="J58"/>
      <c r="K58" s="905"/>
    </row>
    <row r="59" spans="5:11" ht="12.75">
      <c r="E59" s="979"/>
      <c r="J59"/>
      <c r="K59" s="905"/>
    </row>
    <row r="61" ht="12.75">
      <c r="J61"/>
    </row>
    <row r="62" spans="1:12" s="989" customFormat="1" ht="29.25" customHeight="1">
      <c r="A62" s="980" t="s">
        <v>727</v>
      </c>
      <c r="B62" s="981" t="s">
        <v>394</v>
      </c>
      <c r="C62" s="982" t="s">
        <v>395</v>
      </c>
      <c r="D62" s="981" t="s">
        <v>396</v>
      </c>
      <c r="E62" s="983" t="s">
        <v>397</v>
      </c>
      <c r="F62" s="981" t="s">
        <v>433</v>
      </c>
      <c r="G62" s="984" t="s">
        <v>398</v>
      </c>
      <c r="H62" s="985" t="s">
        <v>140</v>
      </c>
      <c r="I62" s="986" t="s">
        <v>145</v>
      </c>
      <c r="J62" s="987" t="s">
        <v>149</v>
      </c>
      <c r="K62" s="987" t="s">
        <v>154</v>
      </c>
      <c r="L62" s="988" t="s">
        <v>156</v>
      </c>
    </row>
    <row r="63" spans="1:12" ht="24.75" customHeight="1">
      <c r="A63" s="990"/>
      <c r="B63" s="991">
        <f>BLsys</f>
        <v>0</v>
      </c>
      <c r="C63" s="991">
        <f>BVsys</f>
        <v>0</v>
      </c>
      <c r="D63" s="991">
        <f>Ovsys</f>
        <v>0</v>
      </c>
      <c r="E63" s="991">
        <f>OLsys</f>
        <v>0</v>
      </c>
      <c r="F63" s="991">
        <f>CAPsys</f>
        <v>0</v>
      </c>
      <c r="G63" s="991">
        <f>EQsys</f>
        <v>0</v>
      </c>
      <c r="H63" s="991"/>
      <c r="I63" s="991" t="str">
        <f>"Maïs "&amp;GCUsys</f>
        <v>Maïs </v>
      </c>
      <c r="J63" s="991" t="str">
        <f>"GCU "&amp;GCUsys</f>
        <v>GCU </v>
      </c>
      <c r="K63" s="992" t="s">
        <v>391</v>
      </c>
      <c r="L63" s="992" t="s">
        <v>392</v>
      </c>
    </row>
    <row r="64" spans="1:12" ht="12.75">
      <c r="A64" s="993" t="s">
        <v>728</v>
      </c>
      <c r="B64" s="994">
        <f>IF(B$63=0,1,VLOOKUP(B$63,Cle_BL,5,FALSE))</f>
        <v>1</v>
      </c>
      <c r="C64" s="994">
        <f>IF(C$63=0,0,VLOOKUP(C$63,Cle_BV,5,FALSE))</f>
        <v>0</v>
      </c>
      <c r="D64" s="994">
        <f>IF(D$63=0,0,VLOOKUP(D$63,Cle_OV,5,FALSE))</f>
        <v>0</v>
      </c>
      <c r="E64" s="994">
        <f>IF(E$63=0,0,VLOOKUP(E$39,Cle_OL,5,FALSE))</f>
        <v>0</v>
      </c>
      <c r="F64" s="994">
        <f>IF(F$63=0,0,VLOOKUP(F$63,Cle_CL,5,FALSE))</f>
        <v>0</v>
      </c>
      <c r="G64" s="994">
        <f>IF(G$63=0,0,VLOOKUP(G$63,Cle_Eq,5,FALSE))</f>
        <v>0</v>
      </c>
      <c r="H64" s="994">
        <f>IF(H$63=0,0,VLOOKUP(H$63,Cle_SH,5,FALSE))</f>
        <v>0</v>
      </c>
      <c r="I64" s="994" t="e">
        <f>IF(I$63=0,0,VLOOKUP(I$63,Cle_MF,5,FALSE))</f>
        <v>#N/A</v>
      </c>
      <c r="J64" s="994" t="e">
        <f>IF(J$63=0,0,VLOOKUP(J$63,Cle_GCU,5,FALSE))</f>
        <v>#N/A</v>
      </c>
      <c r="K64" s="994">
        <f>IF(K$63=0,0,VLOOKUP(K$63,Cle_CP,5,FALSE))</f>
        <v>3.777985300695104</v>
      </c>
      <c r="L64" s="994">
        <f>IF(L$63=0,0,VLOOKUP(L$63,Cle_CS,5,FALSE))</f>
        <v>1.8458253176262038</v>
      </c>
    </row>
    <row r="65" spans="1:12" ht="12.75">
      <c r="A65" s="993" t="s">
        <v>729</v>
      </c>
      <c r="B65" s="994">
        <f>IF(B$63=0,1,VLOOKUP(B$63,Cle_BL,6,FALSE))</f>
        <v>1</v>
      </c>
      <c r="C65" s="994">
        <f>IF(C$63=0,0,VLOOKUP(C$63,Cle_BV,6,FALSE))</f>
        <v>0</v>
      </c>
      <c r="D65" s="994">
        <f>IF(D$63=0,0,VLOOKUP(D$63,Cle_OV,6,FALSE))</f>
        <v>0</v>
      </c>
      <c r="E65" s="994">
        <f>IF(E$63=0,0,VLOOKUP(E$39,Cle_OL,6,FALSE))</f>
        <v>0</v>
      </c>
      <c r="F65" s="994">
        <f>IF(F$63=0,0,VLOOKUP(F$63,Cle_CL,6,FALSE))</f>
        <v>0</v>
      </c>
      <c r="G65" s="994">
        <f>IF(G$63=0,0,VLOOKUP(G$63,Cle_Eq,6,FALSE))</f>
        <v>0</v>
      </c>
      <c r="H65" s="994">
        <f>IF(H$63=0,0,VLOOKUP(H$63,Cle_SH,6,FALSE))</f>
        <v>0</v>
      </c>
      <c r="I65" s="994" t="e">
        <f>IF(I$63=0,0,VLOOKUP(I$63,Cle_MF,6,FALSE))</f>
        <v>#N/A</v>
      </c>
      <c r="J65" s="994" t="e">
        <f>IF(J$63=0,0,VLOOKUP(J$63,Cle_GCU,6,FALSE))</f>
        <v>#N/A</v>
      </c>
      <c r="K65" s="994">
        <f>IF(K$63=0,0,VLOOKUP(K$63,Cle_CP,6,FALSE))</f>
        <v>1.0862056229455055</v>
      </c>
      <c r="L65" s="994">
        <f>IF(L$63=0,0,VLOOKUP(L$63,Cle_CS,6,FALSE))</f>
        <v>0.1187617367528265</v>
      </c>
    </row>
    <row r="66" spans="1:12" ht="12.75">
      <c r="A66" s="993" t="s">
        <v>730</v>
      </c>
      <c r="B66" s="994">
        <f>IF(B$63=0,1,VLOOKUP(B$63,Cle_BL,7,FALSE))</f>
        <v>1</v>
      </c>
      <c r="C66" s="994">
        <f>IF(C$63=0,0,VLOOKUP(C$63,Cle_BV,7,FALSE))</f>
        <v>0</v>
      </c>
      <c r="D66" s="994">
        <f>IF(D$63=0,0,VLOOKUP(D$63,Cle_OV,7,FALSE))</f>
        <v>0</v>
      </c>
      <c r="E66" s="994">
        <f>IF(E$63=0,0,VLOOKUP(E$39,Cle_OL,7,FALSE))</f>
        <v>0</v>
      </c>
      <c r="F66" s="994">
        <f>IF(F$63=0,0,VLOOKUP(F$63,Cle_CL,7,FALSE))</f>
        <v>0</v>
      </c>
      <c r="G66" s="994">
        <f>IF(G$63=0,0,VLOOKUP(G$63,Cle_Eq,7,FALSE))</f>
        <v>0</v>
      </c>
      <c r="H66" s="994">
        <f>IF(H$63=0,0,VLOOKUP(H$63,Cle_SH,7,FALSE))</f>
        <v>0</v>
      </c>
      <c r="I66" s="994" t="e">
        <f>IF(I$63=0,0,VLOOKUP(I$63,Cle_MF,7,FALSE))</f>
        <v>#N/A</v>
      </c>
      <c r="J66" s="994" t="e">
        <f>IF(J$63=0,0,VLOOKUP(J$63,Cle_GCU,7,FALSE))</f>
        <v>#N/A</v>
      </c>
      <c r="K66" s="994">
        <f>IF(K$63=0,0,VLOOKUP(K$63,Cle_CP,7,FALSE))</f>
        <v>3.590605920808378</v>
      </c>
      <c r="L66" s="994">
        <f>IF(L$63=0,0,VLOOKUP(L$63,Cle_CS,7,FALSE))</f>
        <v>1.2704148616431947</v>
      </c>
    </row>
    <row r="67" spans="1:12" ht="12.75">
      <c r="A67" s="993" t="s">
        <v>731</v>
      </c>
      <c r="B67" s="994">
        <f>IF(B$63=0,1,VLOOKUP(B$63,Cle_BL,8,FALSE))</f>
        <v>1</v>
      </c>
      <c r="C67" s="994">
        <f>IF(C$63=0,0,VLOOKUP(C$63,Cle_BV,8,FALSE))</f>
        <v>0</v>
      </c>
      <c r="D67" s="994">
        <f>IF(D$63=0,0,VLOOKUP(D$63,Cle_OV,8,FALSE))</f>
        <v>0</v>
      </c>
      <c r="E67" s="994">
        <f>IF(E$63=0,0,VLOOKUP(E$39,Cle_OL,8,FALSE))</f>
        <v>0</v>
      </c>
      <c r="F67" s="994">
        <f>IF(F$63=0,0,VLOOKUP(F$63,Cle_CL,8,FALSE))</f>
        <v>0</v>
      </c>
      <c r="G67" s="994">
        <f>IF(G$63=0,0,VLOOKUP(G$63,Cle_Eq,8,FALSE))</f>
        <v>0</v>
      </c>
      <c r="H67" s="994">
        <f>IF(H$63=0,0,VLOOKUP(H$63,Cle_SH,8,FALSE))</f>
        <v>0</v>
      </c>
      <c r="I67" s="994" t="e">
        <f>IF(I$63=0,0,VLOOKUP(I$63,Cle_MF,8,FALSE))</f>
        <v>#N/A</v>
      </c>
      <c r="J67" s="994" t="e">
        <f>IF(J$63=0,0,VLOOKUP(J$63,Cle_GCU,8,FALSE))</f>
        <v>#N/A</v>
      </c>
      <c r="K67" s="994">
        <f>IF(K$63=0,0,VLOOKUP(K$63,Cle_CP,8,FALSE))</f>
        <v>1.038510164338356</v>
      </c>
      <c r="L67" s="994">
        <f>IF(L$63=0,0,VLOOKUP(L$63,Cle_CS,8,FALSE))</f>
        <v>0.08668812580876145</v>
      </c>
    </row>
    <row r="68" spans="1:12" ht="12.75">
      <c r="A68" s="993" t="s">
        <v>732</v>
      </c>
      <c r="B68" s="994">
        <f>IF(B$63=0,1,VLOOKUP(B$63,Cle_BL,9,FALSE))</f>
        <v>1</v>
      </c>
      <c r="C68" s="994">
        <f>IF(C$63=0,0,VLOOKUP(C$63,Cle_BV,9,FALSE))</f>
        <v>0</v>
      </c>
      <c r="D68" s="994">
        <f>IF(D$63=0,0,VLOOKUP(D$63,Cle_OV,9,FALSE))</f>
        <v>0</v>
      </c>
      <c r="E68" s="994">
        <f>IF(E$63=0,0,VLOOKUP(E$39,Cle_OL,9,FALSE))</f>
        <v>0</v>
      </c>
      <c r="F68" s="994">
        <f>IF(F$63=0,0,VLOOKUP(F$63,Cle_CL,9,FALSE))</f>
        <v>0</v>
      </c>
      <c r="G68" s="994">
        <f>IF(G$63=0,0,VLOOKUP(G$63,Cle_Eq,9,FALSE))</f>
        <v>0</v>
      </c>
      <c r="H68" s="994">
        <f>IF(H$63=0,0,VLOOKUP(H$63,Cle_SH,9,FALSE))</f>
        <v>0</v>
      </c>
      <c r="I68" s="994" t="e">
        <f>IF(I$63=0,0,VLOOKUP(I$63,Cle_MF,9,FALSE))</f>
        <v>#N/A</v>
      </c>
      <c r="J68" s="994" t="e">
        <f>IF(J$63=0,0,VLOOKUP(J$63,Cle_GCU,9,FALSE))</f>
        <v>#N/A</v>
      </c>
      <c r="K68" s="994">
        <f>IF(K$63=0,0,VLOOKUP(K$63,Cle_CP,9,FALSE))</f>
        <v>3.9013710106360597</v>
      </c>
      <c r="L68" s="994">
        <f>IF(L$63=0,0,VLOOKUP(L$63,Cle_CS,9,FALSE))</f>
        <v>1.4420841661498212</v>
      </c>
    </row>
    <row r="70" ht="12.75">
      <c r="A70" s="995" t="s">
        <v>733</v>
      </c>
    </row>
    <row r="71" ht="12.75">
      <c r="A71" s="996" t="s">
        <v>734</v>
      </c>
    </row>
    <row r="72" ht="12.75">
      <c r="A72" s="997" t="s">
        <v>735</v>
      </c>
    </row>
    <row r="75" spans="1:2" ht="12.75">
      <c r="A75" s="995" t="s">
        <v>736</v>
      </c>
      <c r="B75" s="998"/>
    </row>
    <row r="76" spans="1:4" ht="12.75">
      <c r="A76" s="999" t="s">
        <v>737</v>
      </c>
      <c r="B76" s="1000">
        <v>2017</v>
      </c>
      <c r="D76" s="1001"/>
    </row>
    <row r="77" spans="1:5" ht="12.75">
      <c r="A77" s="999" t="s">
        <v>738</v>
      </c>
      <c r="B77" s="1002">
        <f>HLOOKUP($B$76,paraman,2,FALSE)</f>
        <v>0.00818888888888886</v>
      </c>
      <c r="D77" s="1003"/>
      <c r="E77" s="1004"/>
    </row>
    <row r="78" spans="1:5" ht="12.75">
      <c r="A78" s="999" t="s">
        <v>739</v>
      </c>
      <c r="B78" s="1005">
        <f>HLOOKUP($B$76,paraman,3,FALSE)</f>
        <v>14222.4444444444</v>
      </c>
      <c r="D78" s="1003"/>
      <c r="E78" s="1004"/>
    </row>
    <row r="79" spans="1:5" ht="12.75">
      <c r="A79" s="999" t="s">
        <v>740</v>
      </c>
      <c r="B79" s="1006">
        <f>HLOOKUP($B$76,paraman,4,FALSE)</f>
        <v>1.3</v>
      </c>
      <c r="D79" s="1003"/>
      <c r="E79" s="1004"/>
    </row>
    <row r="80" spans="1:5" ht="12.75">
      <c r="A80" s="1007" t="s">
        <v>741</v>
      </c>
      <c r="B80" s="1008">
        <f>HLOOKUP($B$76,paraman,5,FALSE)</f>
        <v>150</v>
      </c>
      <c r="D80" s="1003"/>
      <c r="E80" s="1004"/>
    </row>
    <row r="81" spans="4:5" ht="12.75">
      <c r="D81" s="1003"/>
      <c r="E81" s="1004"/>
    </row>
    <row r="82" spans="1:5" ht="12.75">
      <c r="A82" s="1009" t="s">
        <v>742</v>
      </c>
      <c r="B82" s="1010"/>
      <c r="C82" s="1010"/>
      <c r="D82" s="1011"/>
      <c r="E82" s="1004"/>
    </row>
    <row r="83" spans="1:5" ht="12.75">
      <c r="A83" s="1012" t="s">
        <v>115</v>
      </c>
      <c r="B83" s="544">
        <f>UMOns</f>
        <v>0</v>
      </c>
      <c r="C83" s="544"/>
      <c r="D83" s="1013"/>
      <c r="E83" s="1004"/>
    </row>
    <row r="84" spans="1:5" ht="12.75">
      <c r="A84" s="1012" t="s">
        <v>118</v>
      </c>
      <c r="B84" s="544">
        <f>UMOs</f>
        <v>0</v>
      </c>
      <c r="C84" s="544"/>
      <c r="D84" s="1013"/>
      <c r="E84" s="1004"/>
    </row>
    <row r="85" spans="1:5" ht="12.75">
      <c r="A85" s="1014" t="s">
        <v>354</v>
      </c>
      <c r="B85" s="544">
        <f>IF(PAUMO="",UMOCAP,"calcul coeff")</f>
        <v>0</v>
      </c>
      <c r="C85" s="1004" t="e">
        <f>B85/$B$83</f>
        <v>#DIV/0!</v>
      </c>
      <c r="D85" s="1013" t="s">
        <v>743</v>
      </c>
      <c r="E85" s="1004"/>
    </row>
    <row r="86" spans="1:5" ht="12.75">
      <c r="A86" s="1014" t="s">
        <v>357</v>
      </c>
      <c r="B86" s="544">
        <f>IF(PAUMO="",UMOSACAP,"calcul coeff")</f>
        <v>0</v>
      </c>
      <c r="C86" s="1004">
        <f>IF(B$84&gt;0,B86/$B$84,0)</f>
        <v>0</v>
      </c>
      <c r="D86" s="1013" t="s">
        <v>744</v>
      </c>
      <c r="E86" s="1004"/>
    </row>
    <row r="87" spans="1:5" ht="12.75">
      <c r="A87" s="1015" t="s">
        <v>359</v>
      </c>
      <c r="B87">
        <f>IF(PAUMO="",UMOAH,"calcul coeff")</f>
        <v>0</v>
      </c>
      <c r="C87" s="1004" t="e">
        <f>B87/$B$83</f>
        <v>#DIV/0!</v>
      </c>
      <c r="D87" s="1013" t="s">
        <v>743</v>
      </c>
      <c r="E87" s="1004"/>
    </row>
    <row r="88" spans="1:5" ht="12.75">
      <c r="A88" s="1015" t="s">
        <v>362</v>
      </c>
      <c r="B88">
        <f>IF(PAUMO="",UMOSAAH,"calcul coeff")</f>
        <v>0</v>
      </c>
      <c r="C88" s="1004">
        <f>IF(B$84&gt;0,B88/$B$84,0)</f>
        <v>0</v>
      </c>
      <c r="D88" s="1013" t="s">
        <v>744</v>
      </c>
      <c r="E88" s="1004"/>
    </row>
    <row r="89" spans="1:5" ht="12.75">
      <c r="A89" s="1014" t="s">
        <v>364</v>
      </c>
      <c r="B89" s="544">
        <f>IF(PAUMO="",UMOCV,"calcul coeff")</f>
        <v>0</v>
      </c>
      <c r="C89" s="1004" t="e">
        <f>B89/$B$83</f>
        <v>#DIV/0!</v>
      </c>
      <c r="D89" s="1013" t="s">
        <v>743</v>
      </c>
      <c r="E89" s="1004"/>
    </row>
    <row r="90" spans="1:5" ht="12.75">
      <c r="A90" s="1014" t="s">
        <v>367</v>
      </c>
      <c r="B90" s="544">
        <f>IF(PAUMO="",UMOSACV,"calcul coeff")</f>
        <v>0</v>
      </c>
      <c r="C90" s="1004">
        <f>IF(B$84&gt;0,B90/$B$84,0)</f>
        <v>0</v>
      </c>
      <c r="D90" s="1013" t="s">
        <v>744</v>
      </c>
      <c r="E90" s="1004"/>
    </row>
    <row r="91" spans="1:5" ht="12.75">
      <c r="A91" s="1014" t="s">
        <v>369</v>
      </c>
      <c r="B91" s="544">
        <f>IF(PAUMO="",UMOCP,"calcul coeff")</f>
        <v>0</v>
      </c>
      <c r="C91" s="1004" t="e">
        <f>B91/$B$83</f>
        <v>#DIV/0!</v>
      </c>
      <c r="D91" s="1013" t="s">
        <v>743</v>
      </c>
      <c r="E91" s="1004"/>
    </row>
    <row r="92" spans="1:5" ht="12.75">
      <c r="A92" s="1014" t="s">
        <v>372</v>
      </c>
      <c r="B92" s="544">
        <f>IF(PAUMO="",UMOSACP,"calcul coeff")</f>
        <v>0</v>
      </c>
      <c r="C92" s="1004">
        <f>IF(B$84&gt;0,B92/$B$84,0)</f>
        <v>0</v>
      </c>
      <c r="D92" s="1013" t="s">
        <v>744</v>
      </c>
      <c r="E92" s="1004"/>
    </row>
    <row r="93" spans="1:5" ht="12.75">
      <c r="A93" s="1014" t="s">
        <v>374</v>
      </c>
      <c r="B93" s="544">
        <f>IF(PAUMO="",UMOCS,"calcul coeff")</f>
        <v>0</v>
      </c>
      <c r="C93" s="1004" t="e">
        <f>B93/$B$83</f>
        <v>#DIV/0!</v>
      </c>
      <c r="D93" s="1013" t="s">
        <v>743</v>
      </c>
      <c r="E93" s="1004"/>
    </row>
    <row r="94" spans="1:5" ht="12.75">
      <c r="A94" s="1014" t="s">
        <v>377</v>
      </c>
      <c r="B94" s="544">
        <f>IF(PAUMO="",UMOSACS,"calcul coeff")</f>
        <v>0</v>
      </c>
      <c r="C94" s="1004">
        <f>IF(B$84&gt;0,B94/$B$84,0)</f>
        <v>0</v>
      </c>
      <c r="D94" s="1013" t="s">
        <v>744</v>
      </c>
      <c r="E94" s="1004"/>
    </row>
    <row r="95" spans="1:5" ht="12.75">
      <c r="A95" s="1016" t="s">
        <v>745</v>
      </c>
      <c r="B95" s="1017">
        <f>IF(CV&gt;0,CVCAP/CV,0)</f>
        <v>0</v>
      </c>
      <c r="C95" s="952"/>
      <c r="D95" s="1018"/>
      <c r="E95" s="1004"/>
    </row>
  </sheetData>
  <sheetProtection password="BF82" sheet="1" selectLockedCells="1" selectUnlockedCells="1"/>
  <printOptions/>
  <pageMargins left="0.7875" right="0.7875" top="0.9840277777777777" bottom="0.9840277777777777" header="0.5118055555555555" footer="0.5118055555555555"/>
  <pageSetup horizontalDpi="300" verticalDpi="300" orientation="portrait" paperSize="9"/>
  <drawing r:id="rId1"/>
</worksheet>
</file>

<file path=xl/worksheets/sheet11.xml><?xml version="1.0" encoding="utf-8"?>
<worksheet xmlns="http://schemas.openxmlformats.org/spreadsheetml/2006/main" xmlns:r="http://schemas.openxmlformats.org/officeDocument/2006/relationships">
  <dimension ref="A1:C128"/>
  <sheetViews>
    <sheetView zoomScalePageLayoutView="0" workbookViewId="0" topLeftCell="A1">
      <selection activeCell="C28" sqref="C28"/>
    </sheetView>
  </sheetViews>
  <sheetFormatPr defaultColWidth="11.421875" defaultRowHeight="12.75"/>
  <cols>
    <col min="1" max="1" width="43.421875" style="67" customWidth="1"/>
    <col min="2" max="2" width="13.57421875" style="68" customWidth="1"/>
    <col min="3" max="3" width="18.7109375" style="1" customWidth="1"/>
  </cols>
  <sheetData>
    <row r="1" ht="12.75">
      <c r="A1" s="5"/>
    </row>
    <row r="2" spans="1:2" ht="18">
      <c r="A2" s="8" t="s">
        <v>746</v>
      </c>
      <c r="B2" s="72"/>
    </row>
    <row r="3" spans="1:2" ht="12.75">
      <c r="A3" s="41"/>
      <c r="B3" s="72"/>
    </row>
    <row r="4" spans="1:2" ht="12.75">
      <c r="A4" s="76" t="s">
        <v>747</v>
      </c>
      <c r="B4" s="72"/>
    </row>
    <row r="5" spans="1:2" ht="12.75">
      <c r="A5" s="77" t="s">
        <v>748</v>
      </c>
      <c r="B5" s="72"/>
    </row>
    <row r="6" spans="1:2" ht="12.75">
      <c r="A6" s="41"/>
      <c r="B6" s="72"/>
    </row>
    <row r="8" spans="1:3" ht="12.75">
      <c r="A8" s="78" t="s">
        <v>70</v>
      </c>
      <c r="B8" s="79"/>
      <c r="C8" s="80"/>
    </row>
    <row r="9" spans="1:3" ht="12.75">
      <c r="A9" s="84" t="s">
        <v>71</v>
      </c>
      <c r="B9" s="85" t="s">
        <v>72</v>
      </c>
      <c r="C9" s="86"/>
    </row>
    <row r="10" spans="1:3" ht="12.75">
      <c r="A10" s="60" t="s">
        <v>75</v>
      </c>
      <c r="B10" s="90" t="s">
        <v>76</v>
      </c>
      <c r="C10" s="91"/>
    </row>
    <row r="11" spans="1:3" ht="12.75">
      <c r="A11" s="60" t="s">
        <v>79</v>
      </c>
      <c r="B11" s="90" t="s">
        <v>80</v>
      </c>
      <c r="C11" s="91"/>
    </row>
    <row r="12" spans="1:3" ht="12.75">
      <c r="A12" s="60" t="s">
        <v>82</v>
      </c>
      <c r="B12" s="90" t="s">
        <v>83</v>
      </c>
      <c r="C12" s="91"/>
    </row>
    <row r="13" spans="1:3" ht="12.75">
      <c r="A13" s="60" t="s">
        <v>85</v>
      </c>
      <c r="B13" s="90" t="s">
        <v>86</v>
      </c>
      <c r="C13" s="91"/>
    </row>
    <row r="14" spans="1:3" ht="12.75">
      <c r="A14" s="60" t="s">
        <v>88</v>
      </c>
      <c r="B14" s="90" t="s">
        <v>89</v>
      </c>
      <c r="C14" s="95"/>
    </row>
    <row r="15" spans="1:3" ht="12.75">
      <c r="A15" s="96" t="s">
        <v>749</v>
      </c>
      <c r="B15" s="97" t="s">
        <v>92</v>
      </c>
      <c r="C15" s="98"/>
    </row>
    <row r="16" spans="1:3" ht="12.75">
      <c r="A16" s="101" t="s">
        <v>94</v>
      </c>
      <c r="B16" s="102" t="s">
        <v>95</v>
      </c>
      <c r="C16" s="103"/>
    </row>
    <row r="17" spans="1:3" ht="12.75">
      <c r="A17" s="108" t="s">
        <v>98</v>
      </c>
      <c r="B17" s="109" t="s">
        <v>99</v>
      </c>
      <c r="C17" s="1019"/>
    </row>
    <row r="18" spans="1:3" ht="12.75">
      <c r="A18" s="114" t="s">
        <v>101</v>
      </c>
      <c r="B18" s="115"/>
      <c r="C18" s="116"/>
    </row>
    <row r="19" spans="1:3" ht="12.75">
      <c r="A19" s="120" t="s">
        <v>103</v>
      </c>
      <c r="B19" s="121" t="s">
        <v>104</v>
      </c>
      <c r="C19" s="1020"/>
    </row>
    <row r="20" spans="1:3" ht="12.75">
      <c r="A20" s="124" t="s">
        <v>106</v>
      </c>
      <c r="B20" s="125" t="s">
        <v>107</v>
      </c>
      <c r="C20" s="126"/>
    </row>
    <row r="21" spans="1:3" ht="12.75">
      <c r="A21" s="130" t="s">
        <v>111</v>
      </c>
      <c r="B21" s="131" t="s">
        <v>112</v>
      </c>
      <c r="C21" s="132"/>
    </row>
    <row r="22" spans="1:3" ht="12.75">
      <c r="A22" s="124" t="s">
        <v>114</v>
      </c>
      <c r="B22" s="136" t="s">
        <v>115</v>
      </c>
      <c r="C22" s="137"/>
    </row>
    <row r="23" spans="1:3" ht="12.75">
      <c r="A23" s="130" t="s">
        <v>117</v>
      </c>
      <c r="B23" s="131" t="s">
        <v>118</v>
      </c>
      <c r="C23" s="132"/>
    </row>
    <row r="24" spans="1:3" ht="12.75">
      <c r="A24" s="139" t="s">
        <v>119</v>
      </c>
      <c r="B24" s="140" t="s">
        <v>120</v>
      </c>
      <c r="C24" s="141"/>
    </row>
    <row r="25" spans="1:3" ht="12.75">
      <c r="A25" s="124" t="s">
        <v>123</v>
      </c>
      <c r="B25" s="136" t="s">
        <v>124</v>
      </c>
      <c r="C25" s="144"/>
    </row>
    <row r="26" spans="1:3" ht="12.75">
      <c r="A26" s="124" t="s">
        <v>125</v>
      </c>
      <c r="B26" s="136" t="s">
        <v>126</v>
      </c>
      <c r="C26" s="144"/>
    </row>
    <row r="27" spans="1:3" ht="12.75">
      <c r="A27" s="124" t="s">
        <v>127</v>
      </c>
      <c r="B27" s="136" t="s">
        <v>128</v>
      </c>
      <c r="C27" s="144"/>
    </row>
    <row r="28" spans="1:3" ht="12.75">
      <c r="A28" s="124" t="s">
        <v>129</v>
      </c>
      <c r="B28" s="136" t="s">
        <v>130</v>
      </c>
      <c r="C28" s="146"/>
    </row>
    <row r="29" spans="1:3" ht="12.75">
      <c r="A29" s="124" t="s">
        <v>131</v>
      </c>
      <c r="B29" s="136" t="s">
        <v>132</v>
      </c>
      <c r="C29" s="147"/>
    </row>
    <row r="30" spans="1:3" ht="12.75">
      <c r="A30" s="139" t="s">
        <v>133</v>
      </c>
      <c r="B30" s="140" t="s">
        <v>134</v>
      </c>
      <c r="C30" s="191"/>
    </row>
    <row r="31" spans="1:3" ht="12.75">
      <c r="A31" s="150" t="s">
        <v>137</v>
      </c>
      <c r="B31" s="151" t="s">
        <v>138</v>
      </c>
      <c r="C31" s="144"/>
    </row>
    <row r="32" spans="1:3" ht="12.75">
      <c r="A32" s="155" t="s">
        <v>139</v>
      </c>
      <c r="B32" s="151" t="s">
        <v>140</v>
      </c>
      <c r="C32" s="144"/>
    </row>
    <row r="33" spans="1:3" ht="12.75">
      <c r="A33" s="150" t="s">
        <v>141</v>
      </c>
      <c r="B33" s="151" t="s">
        <v>142</v>
      </c>
      <c r="C33" s="144"/>
    </row>
    <row r="34" spans="1:3" ht="12.75">
      <c r="A34" s="155" t="s">
        <v>144</v>
      </c>
      <c r="B34" s="151" t="s">
        <v>145</v>
      </c>
      <c r="C34" s="144"/>
    </row>
    <row r="35" spans="1:3" ht="12.75">
      <c r="A35" s="150" t="s">
        <v>146</v>
      </c>
      <c r="B35" s="151" t="s">
        <v>147</v>
      </c>
      <c r="C35" s="144"/>
    </row>
    <row r="36" spans="1:3" ht="12.75">
      <c r="A36" s="155" t="s">
        <v>148</v>
      </c>
      <c r="B36" s="151" t="s">
        <v>149</v>
      </c>
      <c r="C36" s="144"/>
    </row>
    <row r="37" spans="1:3" ht="12.75">
      <c r="A37" s="150" t="s">
        <v>151</v>
      </c>
      <c r="B37" s="151" t="s">
        <v>152</v>
      </c>
      <c r="C37" s="144"/>
    </row>
    <row r="38" spans="1:3" ht="12.75">
      <c r="A38" s="160" t="s">
        <v>153</v>
      </c>
      <c r="B38" s="136" t="s">
        <v>154</v>
      </c>
      <c r="C38" s="144"/>
    </row>
    <row r="39" spans="1:3" ht="12.75">
      <c r="A39" s="161" t="s">
        <v>155</v>
      </c>
      <c r="B39" s="162" t="s">
        <v>156</v>
      </c>
      <c r="C39" s="187"/>
    </row>
    <row r="40" spans="1:3" ht="12.75">
      <c r="A40" s="124" t="s">
        <v>157</v>
      </c>
      <c r="B40" s="136" t="s">
        <v>158</v>
      </c>
      <c r="C40" s="167"/>
    </row>
    <row r="41" spans="1:3" ht="12.75">
      <c r="A41" s="124" t="s">
        <v>162</v>
      </c>
      <c r="B41" s="136" t="s">
        <v>163</v>
      </c>
      <c r="C41" s="144"/>
    </row>
    <row r="42" spans="1:3" ht="12.75">
      <c r="A42" s="170" t="s">
        <v>165</v>
      </c>
      <c r="B42" s="162" t="s">
        <v>166</v>
      </c>
      <c r="C42" s="147"/>
    </row>
    <row r="43" spans="1:3" ht="12.75">
      <c r="A43" s="171" t="s">
        <v>168</v>
      </c>
      <c r="B43" s="172" t="s">
        <v>169</v>
      </c>
      <c r="C43" s="167"/>
    </row>
    <row r="44" spans="1:3" ht="12.75">
      <c r="A44" s="155" t="s">
        <v>170</v>
      </c>
      <c r="B44" s="151" t="s">
        <v>171</v>
      </c>
      <c r="C44" s="144"/>
    </row>
    <row r="45" spans="1:3" ht="12.75">
      <c r="A45" s="155" t="s">
        <v>172</v>
      </c>
      <c r="B45" s="151" t="s">
        <v>173</v>
      </c>
      <c r="C45" s="144"/>
    </row>
    <row r="46" spans="1:3" ht="12.75">
      <c r="A46" s="155" t="s">
        <v>174</v>
      </c>
      <c r="B46" s="151" t="s">
        <v>175</v>
      </c>
      <c r="C46" s="144"/>
    </row>
    <row r="47" spans="1:3" ht="12.75">
      <c r="A47" s="170" t="s">
        <v>176</v>
      </c>
      <c r="B47" s="131" t="s">
        <v>177</v>
      </c>
      <c r="C47" s="147"/>
    </row>
    <row r="48" spans="1:3" ht="12.75">
      <c r="A48" s="176" t="s">
        <v>178</v>
      </c>
      <c r="B48" s="140" t="s">
        <v>179</v>
      </c>
      <c r="C48" s="141"/>
    </row>
    <row r="49" spans="1:3" ht="12.75">
      <c r="A49" s="179" t="s">
        <v>182</v>
      </c>
      <c r="B49" s="151" t="s">
        <v>183</v>
      </c>
      <c r="C49" s="144"/>
    </row>
    <row r="50" spans="1:3" ht="12.75">
      <c r="A50" s="179" t="s">
        <v>185</v>
      </c>
      <c r="B50" s="151" t="s">
        <v>186</v>
      </c>
      <c r="C50" s="144"/>
    </row>
    <row r="51" spans="1:3" ht="12.75">
      <c r="A51" s="179" t="s">
        <v>188</v>
      </c>
      <c r="B51" s="180" t="s">
        <v>189</v>
      </c>
      <c r="C51" s="144"/>
    </row>
    <row r="52" spans="1:3" ht="12.75">
      <c r="A52" s="179" t="s">
        <v>190</v>
      </c>
      <c r="B52" s="181" t="s">
        <v>191</v>
      </c>
      <c r="C52" s="182"/>
    </row>
    <row r="53" spans="1:3" ht="12.75">
      <c r="A53" s="186" t="s">
        <v>192</v>
      </c>
      <c r="B53" s="162" t="s">
        <v>193</v>
      </c>
      <c r="C53" s="187"/>
    </row>
    <row r="54" spans="1:3" ht="12.75">
      <c r="A54" s="124" t="s">
        <v>196</v>
      </c>
      <c r="B54" s="188" t="s">
        <v>197</v>
      </c>
      <c r="C54" s="191"/>
    </row>
    <row r="55" spans="1:3" ht="12.75">
      <c r="A55" s="155" t="s">
        <v>199</v>
      </c>
      <c r="B55" s="151" t="s">
        <v>200</v>
      </c>
      <c r="C55" s="144"/>
    </row>
    <row r="56" spans="1:3" ht="12.75">
      <c r="A56" s="155" t="s">
        <v>201</v>
      </c>
      <c r="B56" s="151" t="s">
        <v>202</v>
      </c>
      <c r="C56" s="144"/>
    </row>
    <row r="57" spans="1:3" ht="12.75">
      <c r="A57" s="192" t="s">
        <v>204</v>
      </c>
      <c r="B57" s="193" t="s">
        <v>205</v>
      </c>
      <c r="C57" s="167"/>
    </row>
    <row r="58" spans="1:3" ht="12.75">
      <c r="A58" s="155" t="s">
        <v>206</v>
      </c>
      <c r="B58" s="151" t="s">
        <v>207</v>
      </c>
      <c r="C58" s="144"/>
    </row>
    <row r="59" spans="1:3" ht="12.75">
      <c r="A59" s="155" t="s">
        <v>209</v>
      </c>
      <c r="B59" s="151" t="s">
        <v>209</v>
      </c>
      <c r="C59" s="144"/>
    </row>
    <row r="60" spans="1:3" ht="12.75">
      <c r="A60" s="155" t="s">
        <v>210</v>
      </c>
      <c r="B60" s="151" t="s">
        <v>211</v>
      </c>
      <c r="C60" s="144"/>
    </row>
    <row r="61" spans="1:3" ht="12.75">
      <c r="A61" s="155" t="s">
        <v>212</v>
      </c>
      <c r="B61" s="151" t="s">
        <v>213</v>
      </c>
      <c r="C61" s="144"/>
    </row>
    <row r="62" spans="1:3" ht="12.75">
      <c r="A62" s="155" t="s">
        <v>215</v>
      </c>
      <c r="B62" s="151" t="s">
        <v>216</v>
      </c>
      <c r="C62" s="144"/>
    </row>
    <row r="63" spans="1:3" ht="12.75">
      <c r="A63" s="155" t="s">
        <v>750</v>
      </c>
      <c r="B63" s="151" t="s">
        <v>751</v>
      </c>
      <c r="C63" s="144"/>
    </row>
    <row r="64" spans="1:3" ht="12.75">
      <c r="A64" s="194" t="s">
        <v>218</v>
      </c>
      <c r="B64" s="195" t="s">
        <v>219</v>
      </c>
      <c r="C64" s="147"/>
    </row>
    <row r="65" spans="1:3" ht="12.75">
      <c r="A65" s="124" t="s">
        <v>220</v>
      </c>
      <c r="B65" s="136" t="s">
        <v>221</v>
      </c>
      <c r="C65" s="167"/>
    </row>
    <row r="66" spans="1:3" ht="12.75">
      <c r="A66" s="150" t="s">
        <v>224</v>
      </c>
      <c r="B66" s="151" t="s">
        <v>225</v>
      </c>
      <c r="C66" s="167"/>
    </row>
    <row r="67" spans="1:3" ht="12.75">
      <c r="A67" s="198" t="s">
        <v>226</v>
      </c>
      <c r="B67" s="151" t="s">
        <v>227</v>
      </c>
      <c r="C67" s="144"/>
    </row>
    <row r="68" spans="1:3" ht="12.75">
      <c r="A68" s="150" t="s">
        <v>228</v>
      </c>
      <c r="B68" s="151" t="s">
        <v>229</v>
      </c>
      <c r="C68" s="144"/>
    </row>
    <row r="69" spans="1:3" ht="12.75">
      <c r="A69" s="155" t="s">
        <v>230</v>
      </c>
      <c r="B69" s="151" t="s">
        <v>231</v>
      </c>
      <c r="C69" s="144"/>
    </row>
    <row r="70" spans="1:3" ht="12.75">
      <c r="A70" s="199" t="s">
        <v>224</v>
      </c>
      <c r="B70" s="131" t="s">
        <v>234</v>
      </c>
      <c r="C70" s="147"/>
    </row>
    <row r="71" spans="1:3" ht="12.75">
      <c r="A71" s="203" t="s">
        <v>235</v>
      </c>
      <c r="B71" s="188" t="s">
        <v>236</v>
      </c>
      <c r="C71" s="204"/>
    </row>
    <row r="72" spans="1:3" ht="12.75">
      <c r="A72" s="150" t="s">
        <v>238</v>
      </c>
      <c r="B72" s="151" t="s">
        <v>239</v>
      </c>
      <c r="C72" s="144"/>
    </row>
    <row r="73" spans="1:3" ht="12.75">
      <c r="A73" s="150" t="s">
        <v>240</v>
      </c>
      <c r="B73" s="151" t="s">
        <v>241</v>
      </c>
      <c r="C73" s="144"/>
    </row>
    <row r="74" spans="1:3" ht="12.75">
      <c r="A74" s="155" t="s">
        <v>242</v>
      </c>
      <c r="B74" s="151" t="s">
        <v>243</v>
      </c>
      <c r="C74" s="205"/>
    </row>
    <row r="75" spans="1:3" ht="12.75">
      <c r="A75" s="150" t="s">
        <v>238</v>
      </c>
      <c r="B75" s="151" t="s">
        <v>245</v>
      </c>
      <c r="C75" s="144"/>
    </row>
    <row r="76" spans="1:3" ht="12.75">
      <c r="A76" s="150" t="s">
        <v>240</v>
      </c>
      <c r="B76" s="151" t="s">
        <v>246</v>
      </c>
      <c r="C76" s="144"/>
    </row>
    <row r="77" spans="1:3" ht="12.75">
      <c r="A77" s="155" t="s">
        <v>247</v>
      </c>
      <c r="B77" s="151" t="s">
        <v>248</v>
      </c>
      <c r="C77" s="205"/>
    </row>
    <row r="78" spans="1:3" ht="12.75">
      <c r="A78" s="150" t="s">
        <v>238</v>
      </c>
      <c r="B78" s="151" t="s">
        <v>250</v>
      </c>
      <c r="C78" s="144"/>
    </row>
    <row r="79" spans="1:3" ht="12.75">
      <c r="A79" s="206" t="s">
        <v>240</v>
      </c>
      <c r="B79" s="162" t="s">
        <v>251</v>
      </c>
      <c r="C79" s="187"/>
    </row>
    <row r="80" spans="1:3" ht="12.75">
      <c r="A80" s="124" t="s">
        <v>252</v>
      </c>
      <c r="B80" s="136" t="s">
        <v>253</v>
      </c>
      <c r="C80" s="167"/>
    </row>
    <row r="81" spans="1:3" ht="12.75">
      <c r="A81" s="150" t="s">
        <v>256</v>
      </c>
      <c r="B81" s="151" t="s">
        <v>257</v>
      </c>
      <c r="C81" s="167"/>
    </row>
    <row r="82" spans="1:3" ht="12.75">
      <c r="A82" s="155" t="s">
        <v>258</v>
      </c>
      <c r="B82" s="151" t="s">
        <v>259</v>
      </c>
      <c r="C82" s="222"/>
    </row>
    <row r="83" spans="1:3" ht="12.75">
      <c r="A83" s="199" t="s">
        <v>256</v>
      </c>
      <c r="B83" s="131" t="s">
        <v>262</v>
      </c>
      <c r="C83" s="222"/>
    </row>
    <row r="84" spans="1:3" ht="12.75">
      <c r="A84" s="212" t="s">
        <v>263</v>
      </c>
      <c r="B84" s="172" t="s">
        <v>264</v>
      </c>
      <c r="C84" s="167"/>
    </row>
    <row r="85" spans="1:3" ht="12.75">
      <c r="A85" s="150" t="s">
        <v>228</v>
      </c>
      <c r="B85" s="151" t="s">
        <v>265</v>
      </c>
      <c r="C85" s="144"/>
    </row>
    <row r="86" spans="1:3" ht="12.75">
      <c r="A86" s="198" t="s">
        <v>266</v>
      </c>
      <c r="B86" s="151" t="s">
        <v>267</v>
      </c>
      <c r="C86" s="144"/>
    </row>
    <row r="87" spans="1:3" ht="12.75">
      <c r="A87" s="217" t="s">
        <v>228</v>
      </c>
      <c r="B87" s="131" t="s">
        <v>268</v>
      </c>
      <c r="C87" s="218"/>
    </row>
    <row r="88" spans="1:3" ht="12.75">
      <c r="A88" s="192" t="s">
        <v>269</v>
      </c>
      <c r="B88" s="193" t="s">
        <v>270</v>
      </c>
      <c r="C88" s="191"/>
    </row>
    <row r="89" spans="1:3" ht="12.75">
      <c r="A89" s="155" t="s">
        <v>273</v>
      </c>
      <c r="B89" s="151" t="s">
        <v>274</v>
      </c>
      <c r="C89" s="144"/>
    </row>
    <row r="90" spans="1:3" ht="12.75">
      <c r="A90" s="155" t="s">
        <v>276</v>
      </c>
      <c r="B90" s="151" t="s">
        <v>277</v>
      </c>
      <c r="C90" s="144"/>
    </row>
    <row r="91" spans="1:3" ht="12.75">
      <c r="A91" s="130" t="s">
        <v>278</v>
      </c>
      <c r="B91" s="131" t="s">
        <v>279</v>
      </c>
      <c r="C91" s="147"/>
    </row>
    <row r="92" spans="1:3" ht="12.75">
      <c r="A92" s="114" t="s">
        <v>281</v>
      </c>
      <c r="B92" s="219" t="s">
        <v>282</v>
      </c>
      <c r="C92" s="191"/>
    </row>
    <row r="93" spans="1:3" ht="12.75">
      <c r="A93" s="220" t="s">
        <v>284</v>
      </c>
      <c r="B93" s="221" t="s">
        <v>285</v>
      </c>
      <c r="C93" s="222"/>
    </row>
    <row r="94" spans="1:3" ht="12.75">
      <c r="A94" s="130" t="s">
        <v>288</v>
      </c>
      <c r="B94" s="131" t="s">
        <v>289</v>
      </c>
      <c r="C94" s="147"/>
    </row>
    <row r="95" spans="1:3" ht="12.75">
      <c r="A95" s="203" t="s">
        <v>292</v>
      </c>
      <c r="B95" s="188" t="s">
        <v>293</v>
      </c>
      <c r="C95" s="141"/>
    </row>
    <row r="96" spans="1:3" ht="12.75">
      <c r="A96" s="192" t="s">
        <v>296</v>
      </c>
      <c r="B96" s="193" t="s">
        <v>297</v>
      </c>
      <c r="C96" s="167"/>
    </row>
    <row r="97" spans="1:3" ht="12.75">
      <c r="A97" s="155" t="s">
        <v>300</v>
      </c>
      <c r="B97" s="151" t="s">
        <v>301</v>
      </c>
      <c r="C97" s="144"/>
    </row>
    <row r="98" spans="1:3" ht="12.75">
      <c r="A98" s="192" t="s">
        <v>304</v>
      </c>
      <c r="B98" s="193" t="s">
        <v>305</v>
      </c>
      <c r="C98" s="182"/>
    </row>
    <row r="99" spans="1:3" ht="12.75">
      <c r="A99" s="139" t="s">
        <v>308</v>
      </c>
      <c r="B99" s="140" t="s">
        <v>309</v>
      </c>
      <c r="C99" s="141"/>
    </row>
    <row r="100" spans="1:3" ht="12.75">
      <c r="A100" s="130" t="s">
        <v>312</v>
      </c>
      <c r="B100" s="131" t="s">
        <v>313</v>
      </c>
      <c r="C100" s="187"/>
    </row>
    <row r="101" spans="1:3" ht="12.75">
      <c r="A101" s="114" t="s">
        <v>315</v>
      </c>
      <c r="B101" s="219" t="s">
        <v>316</v>
      </c>
      <c r="C101" s="191"/>
    </row>
    <row r="102" spans="1:3" ht="12.75">
      <c r="A102" s="155" t="s">
        <v>319</v>
      </c>
      <c r="B102" s="151" t="s">
        <v>320</v>
      </c>
      <c r="C102" s="144"/>
    </row>
    <row r="103" spans="1:3" ht="12.75">
      <c r="A103" s="155" t="s">
        <v>323</v>
      </c>
      <c r="B103" s="151" t="s">
        <v>324</v>
      </c>
      <c r="C103" s="144"/>
    </row>
    <row r="104" spans="1:3" ht="12.75">
      <c r="A104" s="155" t="s">
        <v>327</v>
      </c>
      <c r="B104" s="151" t="s">
        <v>328</v>
      </c>
      <c r="C104" s="144"/>
    </row>
    <row r="105" spans="1:3" ht="12.75">
      <c r="A105" s="227"/>
      <c r="B105" s="172"/>
      <c r="C105" s="228"/>
    </row>
    <row r="106" spans="1:3" ht="12.75">
      <c r="A106" s="230" t="s">
        <v>331</v>
      </c>
      <c r="B106" s="231"/>
      <c r="C106" s="232"/>
    </row>
    <row r="107" spans="1:3" ht="12.75">
      <c r="A107" s="124" t="s">
        <v>332</v>
      </c>
      <c r="B107" s="136" t="s">
        <v>333</v>
      </c>
      <c r="C107" s="236"/>
    </row>
    <row r="108" spans="1:3" ht="12.75">
      <c r="A108" s="155" t="s">
        <v>242</v>
      </c>
      <c r="B108" s="151" t="s">
        <v>335</v>
      </c>
      <c r="C108" s="237"/>
    </row>
    <row r="109" spans="1:3" ht="12.75">
      <c r="A109" s="155" t="s">
        <v>247</v>
      </c>
      <c r="B109" s="151" t="s">
        <v>336</v>
      </c>
      <c r="C109" s="237"/>
    </row>
    <row r="110" spans="1:3" ht="12.75">
      <c r="A110" s="192" t="s">
        <v>337</v>
      </c>
      <c r="B110" s="193" t="s">
        <v>338</v>
      </c>
      <c r="C110" s="238"/>
    </row>
    <row r="111" spans="1:3" ht="12.75">
      <c r="A111" s="239" t="s">
        <v>339</v>
      </c>
      <c r="B111" s="240"/>
      <c r="C111" s="241"/>
    </row>
    <row r="112" spans="1:3" ht="12.75">
      <c r="A112" s="155" t="s">
        <v>340</v>
      </c>
      <c r="B112" s="151" t="s">
        <v>340</v>
      </c>
      <c r="C112" s="246"/>
    </row>
    <row r="113" spans="1:3" ht="24">
      <c r="A113" s="155" t="s">
        <v>342</v>
      </c>
      <c r="B113" s="151" t="s">
        <v>343</v>
      </c>
      <c r="C113" s="246"/>
    </row>
    <row r="114" spans="1:3" ht="12.75">
      <c r="A114" s="247" t="s">
        <v>346</v>
      </c>
      <c r="B114" s="151" t="s">
        <v>347</v>
      </c>
      <c r="C114" s="246"/>
    </row>
    <row r="115" spans="1:3" ht="12.75">
      <c r="A115" s="247" t="s">
        <v>348</v>
      </c>
      <c r="B115" s="151" t="s">
        <v>349</v>
      </c>
      <c r="C115" s="246"/>
    </row>
    <row r="116" spans="1:3" ht="12.75">
      <c r="A116" s="247" t="s">
        <v>350</v>
      </c>
      <c r="B116" s="151" t="s">
        <v>351</v>
      </c>
      <c r="C116" s="246"/>
    </row>
    <row r="117" spans="1:3" ht="12.75">
      <c r="A117" s="247"/>
      <c r="B117" s="151"/>
      <c r="C117" s="237"/>
    </row>
    <row r="118" spans="1:3" ht="12.75">
      <c r="A118" s="248" t="s">
        <v>352</v>
      </c>
      <c r="B118" s="249"/>
      <c r="C118" s="250"/>
    </row>
    <row r="119" spans="1:3" ht="12.75">
      <c r="A119" s="254" t="s">
        <v>353</v>
      </c>
      <c r="B119" s="255" t="s">
        <v>354</v>
      </c>
      <c r="C119" s="256"/>
    </row>
    <row r="120" spans="1:3" ht="12.75">
      <c r="A120" s="260" t="s">
        <v>356</v>
      </c>
      <c r="B120" s="261" t="s">
        <v>357</v>
      </c>
      <c r="C120" s="262"/>
    </row>
    <row r="121" spans="1:3" ht="24">
      <c r="A121" s="254" t="s">
        <v>358</v>
      </c>
      <c r="B121" s="255" t="s">
        <v>359</v>
      </c>
      <c r="C121" s="256"/>
    </row>
    <row r="122" spans="1:3" ht="24">
      <c r="A122" s="260" t="s">
        <v>361</v>
      </c>
      <c r="B122" s="261" t="s">
        <v>362</v>
      </c>
      <c r="C122" s="262"/>
    </row>
    <row r="123" spans="1:3" ht="12.75">
      <c r="A123" s="254" t="s">
        <v>363</v>
      </c>
      <c r="B123" s="255" t="s">
        <v>364</v>
      </c>
      <c r="C123" s="256"/>
    </row>
    <row r="124" spans="1:3" ht="12.75">
      <c r="A124" s="266" t="s">
        <v>366</v>
      </c>
      <c r="B124" s="267" t="s">
        <v>367</v>
      </c>
      <c r="C124" s="262"/>
    </row>
    <row r="125" spans="1:3" ht="12.75">
      <c r="A125" s="254" t="s">
        <v>368</v>
      </c>
      <c r="B125" s="255" t="s">
        <v>369</v>
      </c>
      <c r="C125" s="256"/>
    </row>
    <row r="126" spans="1:3" ht="12.75">
      <c r="A126" s="266" t="s">
        <v>371</v>
      </c>
      <c r="B126" s="267" t="s">
        <v>372</v>
      </c>
      <c r="C126" s="262"/>
    </row>
    <row r="127" spans="1:3" ht="12.75">
      <c r="A127" s="254" t="s">
        <v>373</v>
      </c>
      <c r="B127" s="255" t="s">
        <v>374</v>
      </c>
      <c r="C127" s="256"/>
    </row>
    <row r="128" spans="1:3" ht="12.75">
      <c r="A128" s="266" t="s">
        <v>376</v>
      </c>
      <c r="B128" s="267" t="s">
        <v>377</v>
      </c>
      <c r="C128" s="262"/>
    </row>
  </sheetData>
  <sheetProtection password="BF82" sheet="1" selectLockedCells="1"/>
  <dataValidations count="7">
    <dataValidation type="list" allowBlank="1" showErrorMessage="1" sqref="C14">
      <formula1>SysEQ</formula1>
      <formula2>0</formula2>
    </dataValidation>
    <dataValidation type="list" allowBlank="1" showErrorMessage="1" sqref="C13">
      <formula1>SysOL</formula1>
      <formula2>0</formula2>
    </dataValidation>
    <dataValidation type="list" allowBlank="1" showErrorMessage="1" sqref="C12">
      <formula1>SysOV</formula1>
      <formula2>0</formula2>
    </dataValidation>
    <dataValidation type="list" allowBlank="1" showErrorMessage="1" sqref="C9">
      <formula1>SysCAP</formula1>
      <formula2>0</formula2>
    </dataValidation>
    <dataValidation type="list" allowBlank="1" showErrorMessage="1" sqref="C11">
      <formula1>SysBV</formula1>
      <formula2>0</formula2>
    </dataValidation>
    <dataValidation type="list" allowBlank="1" showErrorMessage="1" sqref="C10">
      <formula1>SysBL</formula1>
      <formula2>0</formula2>
    </dataValidation>
    <dataValidation type="list" allowBlank="1" showErrorMessage="1" sqref="C15">
      <formula1>Plamont</formula1>
      <formula2>0</formula2>
    </dataValidation>
  </dataValidations>
  <printOptions/>
  <pageMargins left="0.7" right="0.7" top="0.75" bottom="0.75" header="0.5118055555555555" footer="0.5118055555555555"/>
  <pageSetup horizontalDpi="300" verticalDpi="300" orientation="portrait" paperSize="9"/>
  <drawing r:id="rId1"/>
</worksheet>
</file>

<file path=xl/worksheets/sheet12.xml><?xml version="1.0" encoding="utf-8"?>
<worksheet xmlns="http://schemas.openxmlformats.org/spreadsheetml/2006/main" xmlns:r="http://schemas.openxmlformats.org/officeDocument/2006/relationships">
  <sheetPr>
    <pageSetUpPr fitToPage="1"/>
  </sheetPr>
  <dimension ref="A2:IV287"/>
  <sheetViews>
    <sheetView zoomScalePageLayoutView="0" workbookViewId="0" topLeftCell="A1">
      <pane xSplit="4" ySplit="3" topLeftCell="E4" activePane="bottomRight" state="frozen"/>
      <selection pane="topLeft" activeCell="A1" sqref="A1"/>
      <selection pane="topRight" activeCell="E1" sqref="E1"/>
      <selection pane="bottomLeft" activeCell="A4" sqref="A4"/>
      <selection pane="bottomRight" activeCell="D15" sqref="D15"/>
    </sheetView>
  </sheetViews>
  <sheetFormatPr defaultColWidth="16.8515625" defaultRowHeight="44.25" customHeight="1"/>
  <cols>
    <col min="1" max="1" width="15.7109375" style="673" customWidth="1"/>
    <col min="2" max="2" width="69.28125" style="673" customWidth="1"/>
    <col min="3" max="3" width="12.00390625" style="1021" customWidth="1"/>
    <col min="4" max="41" width="21.7109375" style="1022" customWidth="1"/>
    <col min="42" max="16384" width="16.8515625" style="1023" customWidth="1"/>
  </cols>
  <sheetData>
    <row r="2" spans="1:41" ht="34.5" customHeight="1">
      <c r="A2" s="1024" t="s">
        <v>752</v>
      </c>
      <c r="B2" s="1025"/>
      <c r="C2" s="1026"/>
      <c r="D2" s="1027" t="s">
        <v>1</v>
      </c>
      <c r="E2" s="1027"/>
      <c r="F2" s="1027"/>
      <c r="G2" s="1027"/>
      <c r="H2" s="1027"/>
      <c r="I2" s="1027"/>
      <c r="J2" s="1027"/>
      <c r="K2" s="1027"/>
      <c r="L2" s="1027"/>
      <c r="M2" s="1027"/>
      <c r="N2" s="1027"/>
      <c r="O2" s="1027"/>
      <c r="P2" s="1027"/>
      <c r="Q2" s="1027"/>
      <c r="R2" s="1027"/>
      <c r="S2" s="1027"/>
      <c r="T2" s="1027"/>
      <c r="U2" s="1027"/>
      <c r="V2" s="1027"/>
      <c r="W2" s="1027"/>
      <c r="X2" s="1027"/>
      <c r="Y2" s="1027"/>
      <c r="Z2" s="1027"/>
      <c r="AA2" s="1027"/>
      <c r="AB2" s="1027"/>
      <c r="AC2" s="1027"/>
      <c r="AD2" s="1027"/>
      <c r="AE2" s="1027"/>
      <c r="AF2" s="1027"/>
      <c r="AG2" s="1027"/>
      <c r="AH2" s="1027"/>
      <c r="AI2" s="1027"/>
      <c r="AJ2" s="1027"/>
      <c r="AK2" s="1027"/>
      <c r="AL2" s="1027"/>
      <c r="AM2" s="1027"/>
      <c r="AN2" s="1027"/>
      <c r="AO2" s="1027"/>
    </row>
    <row r="3" spans="1:43" ht="12.75" customHeight="1">
      <c r="A3" s="680"/>
      <c r="B3" s="1025"/>
      <c r="C3" s="1028"/>
      <c r="D3" s="1029">
        <f>DATEVER</f>
        <v>43515</v>
      </c>
      <c r="E3" s="1029"/>
      <c r="F3" s="1029"/>
      <c r="G3" s="1029"/>
      <c r="H3" s="1029"/>
      <c r="I3" s="1029"/>
      <c r="J3" s="1029"/>
      <c r="K3" s="1029"/>
      <c r="L3" s="1029"/>
      <c r="M3" s="1029"/>
      <c r="N3" s="1029"/>
      <c r="O3" s="1029"/>
      <c r="P3" s="1029"/>
      <c r="Q3" s="1029"/>
      <c r="R3" s="1029"/>
      <c r="S3" s="1029"/>
      <c r="T3" s="1029"/>
      <c r="U3" s="1029"/>
      <c r="V3" s="1029"/>
      <c r="W3" s="1029"/>
      <c r="X3" s="1029"/>
      <c r="Y3" s="1029"/>
      <c r="Z3" s="1029"/>
      <c r="AA3" s="1029"/>
      <c r="AB3" s="1029"/>
      <c r="AC3" s="1029"/>
      <c r="AD3" s="1029"/>
      <c r="AE3" s="1029"/>
      <c r="AF3" s="1029"/>
      <c r="AG3" s="1029"/>
      <c r="AH3" s="1029"/>
      <c r="AI3" s="1029"/>
      <c r="AJ3" s="1029"/>
      <c r="AK3" s="1029"/>
      <c r="AL3" s="1029"/>
      <c r="AM3" s="1029"/>
      <c r="AN3" s="1029"/>
      <c r="AO3" s="1029"/>
      <c r="AP3" s="1030"/>
      <c r="AQ3" s="1030"/>
    </row>
    <row r="4" spans="1:3" ht="52.5" customHeight="1">
      <c r="A4" s="1416" t="s">
        <v>753</v>
      </c>
      <c r="B4" s="1416"/>
      <c r="C4" s="1416"/>
    </row>
    <row r="5" spans="1:3" ht="12.75" customHeight="1">
      <c r="A5" s="1416" t="s">
        <v>754</v>
      </c>
      <c r="B5" s="1416"/>
      <c r="C5" s="1416"/>
    </row>
    <row r="6" spans="1:3" ht="27.75" customHeight="1">
      <c r="A6" s="1417" t="s">
        <v>755</v>
      </c>
      <c r="B6" s="1417"/>
      <c r="C6" s="1417"/>
    </row>
    <row r="7" spans="1:2" ht="12.75" customHeight="1">
      <c r="A7" s="1031"/>
      <c r="B7" s="1032"/>
    </row>
    <row r="8" spans="1:41" s="1036" customFormat="1" ht="15" customHeight="1">
      <c r="A8" s="1033" t="s">
        <v>756</v>
      </c>
      <c r="B8" s="1034" t="s">
        <v>757</v>
      </c>
      <c r="C8" s="1034" t="s">
        <v>96</v>
      </c>
      <c r="D8" s="1035"/>
      <c r="E8" s="1035"/>
      <c r="F8" s="1035"/>
      <c r="G8" s="1035"/>
      <c r="H8" s="1035"/>
      <c r="I8" s="1035"/>
      <c r="J8" s="1035"/>
      <c r="K8" s="1035"/>
      <c r="L8" s="1035"/>
      <c r="M8" s="1035"/>
      <c r="N8" s="1035"/>
      <c r="O8" s="1035"/>
      <c r="P8" s="1035"/>
      <c r="Q8" s="1035"/>
      <c r="R8" s="1035"/>
      <c r="S8" s="1035"/>
      <c r="T8" s="1035"/>
      <c r="U8" s="1035"/>
      <c r="V8" s="1035"/>
      <c r="W8" s="1035"/>
      <c r="X8" s="1035"/>
      <c r="Y8" s="1035"/>
      <c r="Z8" s="1035"/>
      <c r="AA8" s="1035"/>
      <c r="AB8" s="1035"/>
      <c r="AC8" s="1035"/>
      <c r="AD8" s="1035"/>
      <c r="AE8" s="1035"/>
      <c r="AF8" s="1035"/>
      <c r="AG8" s="1035"/>
      <c r="AH8" s="1035"/>
      <c r="AI8" s="1035"/>
      <c r="AJ8" s="1035"/>
      <c r="AK8" s="1035"/>
      <c r="AL8" s="1035"/>
      <c r="AM8" s="1035"/>
      <c r="AN8" s="1035"/>
      <c r="AO8" s="1035"/>
    </row>
    <row r="9" spans="1:43" ht="15" customHeight="1">
      <c r="A9" s="1037" t="s">
        <v>758</v>
      </c>
      <c r="B9" s="1038" t="s">
        <v>759</v>
      </c>
      <c r="C9" s="1039"/>
      <c r="D9" s="1040"/>
      <c r="E9" s="1040"/>
      <c r="F9" s="1040"/>
      <c r="G9" s="1040"/>
      <c r="H9" s="1040"/>
      <c r="I9" s="1040"/>
      <c r="J9" s="1040"/>
      <c r="K9" s="1040"/>
      <c r="L9" s="1040"/>
      <c r="M9" s="1040"/>
      <c r="N9" s="1040"/>
      <c r="O9" s="1040"/>
      <c r="P9" s="1040"/>
      <c r="Q9" s="1040"/>
      <c r="R9" s="1040"/>
      <c r="S9" s="1040"/>
      <c r="T9" s="1040"/>
      <c r="U9" s="1040"/>
      <c r="V9" s="1040"/>
      <c r="W9" s="1040"/>
      <c r="X9" s="1040"/>
      <c r="Y9" s="1040"/>
      <c r="Z9" s="1040"/>
      <c r="AA9" s="1040"/>
      <c r="AB9" s="1040"/>
      <c r="AC9" s="1040"/>
      <c r="AD9" s="1040"/>
      <c r="AE9" s="1040"/>
      <c r="AF9" s="1040"/>
      <c r="AG9" s="1040"/>
      <c r="AH9" s="1040"/>
      <c r="AI9" s="1040"/>
      <c r="AJ9" s="1040"/>
      <c r="AK9" s="1040"/>
      <c r="AL9" s="1040"/>
      <c r="AM9" s="1040"/>
      <c r="AN9" s="1040"/>
      <c r="AO9" s="1040"/>
      <c r="AP9" s="1041"/>
      <c r="AQ9" s="1041"/>
    </row>
    <row r="10" spans="1:256" s="1045" customFormat="1" ht="15" customHeight="1">
      <c r="A10" s="1042" t="s">
        <v>760</v>
      </c>
      <c r="B10" s="664" t="s">
        <v>761</v>
      </c>
      <c r="C10" s="1043"/>
      <c r="D10" s="1044"/>
      <c r="E10" s="1044"/>
      <c r="F10" s="1044"/>
      <c r="G10" s="1044"/>
      <c r="H10" s="1044"/>
      <c r="I10" s="1044"/>
      <c r="J10" s="1044"/>
      <c r="K10" s="1044"/>
      <c r="L10" s="1044"/>
      <c r="M10" s="1044"/>
      <c r="N10" s="1044"/>
      <c r="O10" s="1044"/>
      <c r="P10" s="1044"/>
      <c r="Q10" s="1044"/>
      <c r="R10" s="1044"/>
      <c r="S10" s="1044"/>
      <c r="T10" s="1044"/>
      <c r="U10" s="1044"/>
      <c r="V10" s="1044"/>
      <c r="W10" s="1044"/>
      <c r="X10" s="1044"/>
      <c r="Y10" s="1044"/>
      <c r="Z10" s="1044"/>
      <c r="AA10" s="1044"/>
      <c r="AB10" s="1044"/>
      <c r="AC10" s="1044"/>
      <c r="AD10" s="1044"/>
      <c r="AE10" s="1044"/>
      <c r="AF10" s="1044"/>
      <c r="AG10" s="1044"/>
      <c r="AH10" s="1044"/>
      <c r="AI10" s="1044"/>
      <c r="AJ10" s="1044"/>
      <c r="AK10" s="1044"/>
      <c r="AL10" s="1044"/>
      <c r="AM10" s="1044"/>
      <c r="AN10" s="1044"/>
      <c r="AO10" s="1044"/>
      <c r="IN10" s="1046"/>
      <c r="IO10" s="1046"/>
      <c r="IP10" s="1046"/>
      <c r="IQ10" s="1046"/>
      <c r="IR10" s="1046"/>
      <c r="IS10" s="1046"/>
      <c r="IT10" s="1046"/>
      <c r="IU10" s="1046"/>
      <c r="IV10" s="1046"/>
    </row>
    <row r="11" spans="1:256" s="1050" customFormat="1" ht="15" customHeight="1">
      <c r="A11" s="1047" t="s">
        <v>762</v>
      </c>
      <c r="B11" s="1047"/>
      <c r="C11" s="1048"/>
      <c r="D11" s="1049"/>
      <c r="E11" s="1049"/>
      <c r="F11" s="1049"/>
      <c r="G11" s="1049"/>
      <c r="H11" s="1049"/>
      <c r="I11" s="1049"/>
      <c r="J11" s="1049"/>
      <c r="K11" s="1049"/>
      <c r="L11" s="1049"/>
      <c r="M11" s="1049"/>
      <c r="N11" s="1049"/>
      <c r="O11" s="1049"/>
      <c r="P11" s="1049"/>
      <c r="Q11" s="1049"/>
      <c r="R11" s="1049"/>
      <c r="S11" s="1049"/>
      <c r="T11" s="1049"/>
      <c r="U11" s="1049"/>
      <c r="V11" s="1049"/>
      <c r="W11" s="1049"/>
      <c r="X11" s="1049"/>
      <c r="Y11" s="1049"/>
      <c r="Z11" s="1049"/>
      <c r="AA11" s="1049"/>
      <c r="AB11" s="1049"/>
      <c r="AC11" s="1049"/>
      <c r="AD11" s="1049"/>
      <c r="AE11" s="1049"/>
      <c r="AF11" s="1049"/>
      <c r="AG11" s="1049"/>
      <c r="AH11" s="1049"/>
      <c r="AI11" s="1049"/>
      <c r="AJ11" s="1049"/>
      <c r="AK11" s="1049"/>
      <c r="AL11" s="1049"/>
      <c r="AM11" s="1049"/>
      <c r="AN11" s="1049"/>
      <c r="AO11" s="1049"/>
      <c r="IN11" s="1051"/>
      <c r="IO11" s="1051"/>
      <c r="IP11" s="1051"/>
      <c r="IQ11" s="1051"/>
      <c r="IR11" s="1051"/>
      <c r="IS11" s="1051"/>
      <c r="IT11" s="1051"/>
      <c r="IU11" s="1051"/>
      <c r="IV11" s="1052"/>
    </row>
    <row r="12" spans="1:256" s="1045" customFormat="1" ht="12.75" customHeight="1">
      <c r="A12" s="1037" t="s">
        <v>763</v>
      </c>
      <c r="B12" s="1038" t="s">
        <v>764</v>
      </c>
      <c r="C12" s="1039"/>
      <c r="D12" s="1053">
        <f>IF(CAPsys&lt;&gt;"",CAPsys,"")</f>
      </c>
      <c r="E12" s="1053"/>
      <c r="F12" s="1053"/>
      <c r="G12" s="1053"/>
      <c r="H12" s="1053"/>
      <c r="I12" s="1053"/>
      <c r="J12" s="1053"/>
      <c r="K12" s="1053"/>
      <c r="L12" s="1053"/>
      <c r="M12" s="1053"/>
      <c r="N12" s="1053"/>
      <c r="O12" s="1053"/>
      <c r="P12" s="1053"/>
      <c r="Q12" s="1053"/>
      <c r="R12" s="1053"/>
      <c r="S12" s="1053"/>
      <c r="T12" s="1053"/>
      <c r="U12" s="1053"/>
      <c r="V12" s="1053"/>
      <c r="W12" s="1053"/>
      <c r="X12" s="1053"/>
      <c r="Y12" s="1053"/>
      <c r="Z12" s="1053"/>
      <c r="AA12" s="1053"/>
      <c r="AB12" s="1053"/>
      <c r="AC12" s="1053"/>
      <c r="AD12" s="1053"/>
      <c r="AE12" s="1053"/>
      <c r="AF12" s="1053"/>
      <c r="AG12" s="1053"/>
      <c r="AH12" s="1053"/>
      <c r="AI12" s="1053"/>
      <c r="AJ12" s="1053"/>
      <c r="AK12" s="1053"/>
      <c r="AL12" s="1053"/>
      <c r="AM12" s="1053"/>
      <c r="AN12" s="1053"/>
      <c r="AO12" s="1053"/>
      <c r="IN12" s="1046"/>
      <c r="IO12" s="1046"/>
      <c r="IP12" s="1046"/>
      <c r="IQ12" s="1046"/>
      <c r="IR12" s="1046"/>
      <c r="IS12" s="1046"/>
      <c r="IT12" s="1046"/>
      <c r="IU12" s="1046"/>
      <c r="IV12" s="1054"/>
    </row>
    <row r="13" spans="1:256" s="1045" customFormat="1" ht="12.75" customHeight="1">
      <c r="A13" s="1055" t="s">
        <v>765</v>
      </c>
      <c r="B13" s="1038" t="s">
        <v>766</v>
      </c>
      <c r="C13" s="1056"/>
      <c r="D13" s="1053">
        <f>IF(BLsys&lt;&gt;"",BLsys,"")</f>
      </c>
      <c r="E13" s="1053"/>
      <c r="F13" s="1053"/>
      <c r="G13" s="1053"/>
      <c r="H13" s="1053"/>
      <c r="I13" s="1053"/>
      <c r="J13" s="1053"/>
      <c r="K13" s="1053"/>
      <c r="L13" s="1053"/>
      <c r="M13" s="1053"/>
      <c r="N13" s="1053"/>
      <c r="O13" s="1053"/>
      <c r="P13" s="1053"/>
      <c r="Q13" s="1053"/>
      <c r="R13" s="1053"/>
      <c r="S13" s="1053"/>
      <c r="T13" s="1053"/>
      <c r="U13" s="1053"/>
      <c r="V13" s="1053"/>
      <c r="W13" s="1053"/>
      <c r="X13" s="1053"/>
      <c r="Y13" s="1053"/>
      <c r="Z13" s="1053"/>
      <c r="AA13" s="1053"/>
      <c r="AB13" s="1053"/>
      <c r="AC13" s="1053"/>
      <c r="AD13" s="1053"/>
      <c r="AE13" s="1053"/>
      <c r="AF13" s="1053"/>
      <c r="AG13" s="1053"/>
      <c r="AH13" s="1053"/>
      <c r="AI13" s="1053"/>
      <c r="AJ13" s="1053"/>
      <c r="AK13" s="1053"/>
      <c r="AL13" s="1053"/>
      <c r="AM13" s="1053"/>
      <c r="AN13" s="1053"/>
      <c r="AO13" s="1053"/>
      <c r="IN13" s="1046"/>
      <c r="IO13" s="1046"/>
      <c r="IP13" s="1046"/>
      <c r="IQ13" s="1046"/>
      <c r="IR13" s="1046"/>
      <c r="IS13" s="1046"/>
      <c r="IT13" s="1046"/>
      <c r="IU13" s="1046"/>
      <c r="IV13" s="1054"/>
    </row>
    <row r="14" spans="1:256" s="1045" customFormat="1" ht="12.75" customHeight="1">
      <c r="A14" s="1037" t="s">
        <v>767</v>
      </c>
      <c r="B14" s="1038" t="s">
        <v>768</v>
      </c>
      <c r="C14" s="1039"/>
      <c r="D14" s="1053">
        <f>IF(BVsys&lt;&gt;"",BVsys,"")</f>
      </c>
      <c r="E14" s="1053"/>
      <c r="F14" s="1053"/>
      <c r="G14" s="1053"/>
      <c r="H14" s="1053"/>
      <c r="I14" s="1053"/>
      <c r="J14" s="1053"/>
      <c r="K14" s="1053"/>
      <c r="L14" s="1053"/>
      <c r="M14" s="1053"/>
      <c r="N14" s="1053"/>
      <c r="O14" s="1053"/>
      <c r="P14" s="1053"/>
      <c r="Q14" s="1053"/>
      <c r="R14" s="1053"/>
      <c r="S14" s="1053"/>
      <c r="T14" s="1053"/>
      <c r="U14" s="1053"/>
      <c r="V14" s="1053"/>
      <c r="W14" s="1053"/>
      <c r="X14" s="1053"/>
      <c r="Y14" s="1053"/>
      <c r="Z14" s="1053"/>
      <c r="AA14" s="1053"/>
      <c r="AB14" s="1053"/>
      <c r="AC14" s="1053"/>
      <c r="AD14" s="1053"/>
      <c r="AE14" s="1053"/>
      <c r="AF14" s="1053"/>
      <c r="AG14" s="1053"/>
      <c r="AH14" s="1053"/>
      <c r="AI14" s="1053"/>
      <c r="AJ14" s="1053"/>
      <c r="AK14" s="1053"/>
      <c r="AL14" s="1053"/>
      <c r="AM14" s="1053"/>
      <c r="AN14" s="1053"/>
      <c r="AO14" s="1053"/>
      <c r="IN14" s="1046"/>
      <c r="IO14" s="1046"/>
      <c r="IP14" s="1046"/>
      <c r="IQ14" s="1046"/>
      <c r="IR14" s="1046"/>
      <c r="IS14" s="1046"/>
      <c r="IT14" s="1046"/>
      <c r="IU14" s="1046"/>
      <c r="IV14" s="1054"/>
    </row>
    <row r="15" spans="1:256" s="1057" customFormat="1" ht="12.75" customHeight="1">
      <c r="A15" s="1037" t="s">
        <v>769</v>
      </c>
      <c r="B15" s="1038" t="s">
        <v>770</v>
      </c>
      <c r="C15" s="1039"/>
      <c r="D15" s="1053">
        <f>IF(Ovsys&lt;&gt;"",Ovsys,"")</f>
      </c>
      <c r="E15" s="1053"/>
      <c r="F15" s="1053"/>
      <c r="G15" s="1053"/>
      <c r="H15" s="1053"/>
      <c r="I15" s="1053"/>
      <c r="J15" s="1053"/>
      <c r="K15" s="1053"/>
      <c r="L15" s="1053"/>
      <c r="M15" s="1053"/>
      <c r="N15" s="1053"/>
      <c r="O15" s="1053"/>
      <c r="P15" s="1053"/>
      <c r="Q15" s="1053"/>
      <c r="R15" s="1053"/>
      <c r="S15" s="1053"/>
      <c r="T15" s="1053"/>
      <c r="U15" s="1053"/>
      <c r="V15" s="1053"/>
      <c r="W15" s="1053"/>
      <c r="X15" s="1053"/>
      <c r="Y15" s="1053"/>
      <c r="Z15" s="1053"/>
      <c r="AA15" s="1053"/>
      <c r="AB15" s="1053"/>
      <c r="AC15" s="1053"/>
      <c r="AD15" s="1053"/>
      <c r="AE15" s="1053"/>
      <c r="AF15" s="1053"/>
      <c r="AG15" s="1053"/>
      <c r="AH15" s="1053"/>
      <c r="AI15" s="1053"/>
      <c r="AJ15" s="1053"/>
      <c r="AK15" s="1053"/>
      <c r="AL15" s="1053"/>
      <c r="AM15" s="1053"/>
      <c r="AN15" s="1053"/>
      <c r="AO15" s="1053"/>
      <c r="IN15" s="1046"/>
      <c r="IO15" s="1046"/>
      <c r="IP15" s="1046"/>
      <c r="IQ15" s="1046"/>
      <c r="IR15" s="1046"/>
      <c r="IS15" s="1046"/>
      <c r="IT15" s="1046"/>
      <c r="IU15" s="1046"/>
      <c r="IV15" s="1046"/>
    </row>
    <row r="16" spans="1:256" s="1041" customFormat="1" ht="12.75" customHeight="1">
      <c r="A16" s="1037" t="s">
        <v>771</v>
      </c>
      <c r="B16" s="1038" t="s">
        <v>772</v>
      </c>
      <c r="C16" s="1039"/>
      <c r="D16" s="1053">
        <f>IF(OLsys&lt;&gt;"",OLsys,"")</f>
      </c>
      <c r="E16" s="1053"/>
      <c r="F16" s="1053"/>
      <c r="G16" s="1053"/>
      <c r="H16" s="1053"/>
      <c r="I16" s="1053"/>
      <c r="J16" s="1053"/>
      <c r="K16" s="1053"/>
      <c r="L16" s="1053"/>
      <c r="M16" s="1053"/>
      <c r="N16" s="1053"/>
      <c r="O16" s="1053"/>
      <c r="P16" s="1053"/>
      <c r="Q16" s="1053"/>
      <c r="R16" s="1053"/>
      <c r="S16" s="1053"/>
      <c r="T16" s="1053"/>
      <c r="U16" s="1053"/>
      <c r="V16" s="1053"/>
      <c r="W16" s="1053"/>
      <c r="X16" s="1053"/>
      <c r="Y16" s="1053"/>
      <c r="Z16" s="1053"/>
      <c r="AA16" s="1053"/>
      <c r="AB16" s="1053"/>
      <c r="AC16" s="1053"/>
      <c r="AD16" s="1053"/>
      <c r="AE16" s="1053"/>
      <c r="AF16" s="1053"/>
      <c r="AG16" s="1053"/>
      <c r="AH16" s="1053"/>
      <c r="AI16" s="1053"/>
      <c r="AJ16" s="1053"/>
      <c r="AK16" s="1053"/>
      <c r="AL16" s="1053"/>
      <c r="AM16" s="1053"/>
      <c r="AN16" s="1053"/>
      <c r="AO16" s="1053"/>
      <c r="IN16" s="1023"/>
      <c r="IO16" s="1023"/>
      <c r="IP16" s="1023"/>
      <c r="IQ16" s="1023"/>
      <c r="IR16" s="1023"/>
      <c r="IS16" s="1023"/>
      <c r="IT16" s="1023"/>
      <c r="IU16" s="1023"/>
      <c r="IV16" s="1023"/>
    </row>
    <row r="17" spans="1:256" s="1041" customFormat="1" ht="12.75" customHeight="1">
      <c r="A17" s="1037" t="s">
        <v>773</v>
      </c>
      <c r="B17" s="1038" t="s">
        <v>774</v>
      </c>
      <c r="C17" s="1039"/>
      <c r="D17" s="1053">
        <f>IF(EQsys&lt;&gt;"",EQsys,"")</f>
      </c>
      <c r="E17" s="1053"/>
      <c r="F17" s="1053"/>
      <c r="G17" s="1053"/>
      <c r="H17" s="1053"/>
      <c r="I17" s="1053"/>
      <c r="J17" s="1053"/>
      <c r="K17" s="1053"/>
      <c r="L17" s="1053"/>
      <c r="M17" s="1053"/>
      <c r="N17" s="1053"/>
      <c r="O17" s="1053"/>
      <c r="P17" s="1053"/>
      <c r="Q17" s="1053"/>
      <c r="R17" s="1053"/>
      <c r="S17" s="1053"/>
      <c r="T17" s="1053"/>
      <c r="U17" s="1053"/>
      <c r="V17" s="1053"/>
      <c r="W17" s="1053"/>
      <c r="X17" s="1053"/>
      <c r="Y17" s="1053"/>
      <c r="Z17" s="1053"/>
      <c r="AA17" s="1053"/>
      <c r="AB17" s="1053"/>
      <c r="AC17" s="1053"/>
      <c r="AD17" s="1053"/>
      <c r="AE17" s="1053"/>
      <c r="AF17" s="1053"/>
      <c r="AG17" s="1053"/>
      <c r="AH17" s="1053"/>
      <c r="AI17" s="1053"/>
      <c r="AJ17" s="1053"/>
      <c r="AK17" s="1053"/>
      <c r="AL17" s="1053"/>
      <c r="AM17" s="1053"/>
      <c r="AN17" s="1053"/>
      <c r="AO17" s="1053"/>
      <c r="AP17" s="1023"/>
      <c r="AQ17" s="1023"/>
      <c r="IN17" s="1023"/>
      <c r="IO17" s="1023"/>
      <c r="IP17" s="1023"/>
      <c r="IQ17" s="1023"/>
      <c r="IR17" s="1023"/>
      <c r="IS17" s="1023"/>
      <c r="IT17" s="1023"/>
      <c r="IU17" s="1023"/>
      <c r="IV17" s="1023"/>
    </row>
    <row r="18" spans="1:256" s="1059" customFormat="1" ht="12.75" customHeight="1">
      <c r="A18" s="1055" t="s">
        <v>775</v>
      </c>
      <c r="B18" s="1038" t="s">
        <v>776</v>
      </c>
      <c r="C18" s="1056"/>
      <c r="D18" s="1058">
        <f>IF(GCUsys&lt;&gt;"",GCUsys,"")</f>
      </c>
      <c r="E18" s="1058"/>
      <c r="F18" s="1058"/>
      <c r="G18" s="1058"/>
      <c r="H18" s="1058"/>
      <c r="I18" s="1058"/>
      <c r="J18" s="1058"/>
      <c r="K18" s="1058"/>
      <c r="L18" s="1058"/>
      <c r="M18" s="1058"/>
      <c r="N18" s="1058"/>
      <c r="O18" s="1058"/>
      <c r="P18" s="1058"/>
      <c r="Q18" s="1058"/>
      <c r="R18" s="1058"/>
      <c r="S18" s="1058"/>
      <c r="T18" s="1058"/>
      <c r="U18" s="1058"/>
      <c r="V18" s="1058"/>
      <c r="W18" s="1058"/>
      <c r="X18" s="1058"/>
      <c r="Y18" s="1058"/>
      <c r="Z18" s="1058"/>
      <c r="AA18" s="1058"/>
      <c r="AB18" s="1058"/>
      <c r="AC18" s="1058"/>
      <c r="AD18" s="1058"/>
      <c r="AE18" s="1058"/>
      <c r="AF18" s="1058"/>
      <c r="AG18" s="1058"/>
      <c r="AH18" s="1058"/>
      <c r="AI18" s="1058"/>
      <c r="AJ18" s="1058"/>
      <c r="AK18" s="1058"/>
      <c r="AL18" s="1058"/>
      <c r="AM18" s="1058"/>
      <c r="AN18" s="1058"/>
      <c r="AO18" s="1058"/>
      <c r="IN18" s="1023"/>
      <c r="IO18" s="1023"/>
      <c r="IP18" s="1023"/>
      <c r="IQ18" s="1023"/>
      <c r="IR18" s="1023"/>
      <c r="IS18" s="1023"/>
      <c r="IT18" s="1023"/>
      <c r="IU18" s="1023"/>
      <c r="IV18" s="1023"/>
    </row>
    <row r="19" spans="1:256" s="1059" customFormat="1" ht="12.75" customHeight="1">
      <c r="A19" s="1055" t="s">
        <v>99</v>
      </c>
      <c r="B19" s="1060" t="s">
        <v>98</v>
      </c>
      <c r="C19" s="1056"/>
      <c r="D19" s="1061">
        <f>IF('Saisie '!C17="","",'Saisie '!C17)</f>
      </c>
      <c r="E19" s="1061"/>
      <c r="F19" s="1061"/>
      <c r="G19" s="1061"/>
      <c r="H19" s="1061"/>
      <c r="I19" s="1061"/>
      <c r="J19" s="1061"/>
      <c r="K19" s="1061"/>
      <c r="L19" s="1061"/>
      <c r="M19" s="1061"/>
      <c r="N19" s="1061"/>
      <c r="O19" s="1061"/>
      <c r="P19" s="1061"/>
      <c r="Q19" s="1061"/>
      <c r="R19" s="1061"/>
      <c r="S19" s="1061"/>
      <c r="T19" s="1061"/>
      <c r="U19" s="1061"/>
      <c r="V19" s="1061"/>
      <c r="W19" s="1061"/>
      <c r="X19" s="1061"/>
      <c r="Y19" s="1061"/>
      <c r="Z19" s="1061"/>
      <c r="AA19" s="1061"/>
      <c r="AB19" s="1061"/>
      <c r="AC19" s="1061"/>
      <c r="AD19" s="1061"/>
      <c r="AE19" s="1061"/>
      <c r="AF19" s="1061"/>
      <c r="AG19" s="1061"/>
      <c r="AH19" s="1061"/>
      <c r="AI19" s="1061"/>
      <c r="AJ19" s="1061"/>
      <c r="AK19" s="1061"/>
      <c r="AL19" s="1061"/>
      <c r="AM19" s="1061"/>
      <c r="AN19" s="1061"/>
      <c r="AO19" s="1061"/>
      <c r="IN19" s="1023"/>
      <c r="IO19" s="1023"/>
      <c r="IP19" s="1023"/>
      <c r="IQ19" s="1023"/>
      <c r="IR19" s="1023"/>
      <c r="IS19" s="1023"/>
      <c r="IT19" s="1023"/>
      <c r="IU19" s="1023"/>
      <c r="IV19" s="1023"/>
    </row>
    <row r="20" spans="1:256" s="1059" customFormat="1" ht="12.75" customHeight="1">
      <c r="A20" s="1055" t="s">
        <v>777</v>
      </c>
      <c r="B20" s="1060" t="s">
        <v>101</v>
      </c>
      <c r="C20" s="1056"/>
      <c r="D20" s="1062">
        <f>IF('Saisie '!C18="","",'Saisie '!C18)</f>
      </c>
      <c r="E20" s="1062"/>
      <c r="F20" s="1062"/>
      <c r="G20" s="1062"/>
      <c r="H20" s="1062"/>
      <c r="I20" s="1062"/>
      <c r="J20" s="1062"/>
      <c r="K20" s="1062"/>
      <c r="L20" s="1062"/>
      <c r="M20" s="1062"/>
      <c r="N20" s="1062"/>
      <c r="O20" s="1062"/>
      <c r="P20" s="1062"/>
      <c r="Q20" s="1062"/>
      <c r="R20" s="1062"/>
      <c r="S20" s="1062"/>
      <c r="T20" s="1062"/>
      <c r="U20" s="1062"/>
      <c r="V20" s="1062"/>
      <c r="W20" s="1062"/>
      <c r="X20" s="1062"/>
      <c r="Y20" s="1062"/>
      <c r="Z20" s="1062"/>
      <c r="AA20" s="1062"/>
      <c r="AB20" s="1062"/>
      <c r="AC20" s="1062"/>
      <c r="AD20" s="1062"/>
      <c r="AE20" s="1062"/>
      <c r="AF20" s="1062"/>
      <c r="AG20" s="1062"/>
      <c r="AH20" s="1062"/>
      <c r="AI20" s="1062"/>
      <c r="AJ20" s="1062"/>
      <c r="AK20" s="1062"/>
      <c r="AL20" s="1062"/>
      <c r="AM20" s="1062"/>
      <c r="AN20" s="1062"/>
      <c r="AO20" s="1062"/>
      <c r="IN20" s="1023"/>
      <c r="IO20" s="1023"/>
      <c r="IP20" s="1023"/>
      <c r="IQ20" s="1023"/>
      <c r="IR20" s="1023"/>
      <c r="IS20" s="1023"/>
      <c r="IT20" s="1023"/>
      <c r="IU20" s="1023"/>
      <c r="IV20" s="1023"/>
    </row>
    <row r="21" spans="1:256" s="1059" customFormat="1" ht="12.75" customHeight="1">
      <c r="A21" s="1055" t="s">
        <v>104</v>
      </c>
      <c r="B21" s="1060" t="s">
        <v>103</v>
      </c>
      <c r="C21" s="1056"/>
      <c r="D21" s="1063">
        <f>IF('Saisie '!C19="","",'Saisie '!C19)</f>
        <v>2019</v>
      </c>
      <c r="E21" s="1063"/>
      <c r="F21" s="1063"/>
      <c r="G21" s="1063"/>
      <c r="H21" s="1063"/>
      <c r="I21" s="1063"/>
      <c r="J21" s="1063"/>
      <c r="K21" s="1063"/>
      <c r="L21" s="1063"/>
      <c r="M21" s="1063"/>
      <c r="N21" s="1063"/>
      <c r="O21" s="1063"/>
      <c r="P21" s="1063"/>
      <c r="Q21" s="1063"/>
      <c r="R21" s="1063"/>
      <c r="S21" s="1063"/>
      <c r="T21" s="1063"/>
      <c r="U21" s="1063"/>
      <c r="V21" s="1063"/>
      <c r="W21" s="1063"/>
      <c r="X21" s="1063"/>
      <c r="Y21" s="1063"/>
      <c r="Z21" s="1063"/>
      <c r="AA21" s="1063"/>
      <c r="AB21" s="1063"/>
      <c r="AC21" s="1063"/>
      <c r="AD21" s="1063"/>
      <c r="AE21" s="1063"/>
      <c r="AF21" s="1063"/>
      <c r="AG21" s="1063"/>
      <c r="AH21" s="1063"/>
      <c r="AI21" s="1063"/>
      <c r="AJ21" s="1063"/>
      <c r="AK21" s="1063"/>
      <c r="AL21" s="1063"/>
      <c r="AM21" s="1063"/>
      <c r="AN21" s="1063"/>
      <c r="AO21" s="1063"/>
      <c r="IN21" s="1023"/>
      <c r="IO21" s="1023"/>
      <c r="IP21" s="1023"/>
      <c r="IQ21" s="1023"/>
      <c r="IR21" s="1023"/>
      <c r="IS21" s="1023"/>
      <c r="IT21" s="1023"/>
      <c r="IU21" s="1023"/>
      <c r="IV21" s="1023"/>
    </row>
    <row r="22" spans="1:256" s="1059" customFormat="1" ht="12.75" customHeight="1">
      <c r="A22" s="1055"/>
      <c r="B22" s="1060"/>
      <c r="C22" s="1056"/>
      <c r="D22" s="1063"/>
      <c r="E22" s="1063"/>
      <c r="F22" s="1063"/>
      <c r="G22" s="1063"/>
      <c r="H22" s="1063"/>
      <c r="I22" s="1063"/>
      <c r="J22" s="1063"/>
      <c r="K22" s="1063"/>
      <c r="L22" s="1063"/>
      <c r="M22" s="1063"/>
      <c r="N22" s="1063"/>
      <c r="O22" s="1063"/>
      <c r="P22" s="1063"/>
      <c r="Q22" s="1063"/>
      <c r="R22" s="1063"/>
      <c r="S22" s="1063"/>
      <c r="T22" s="1063"/>
      <c r="U22" s="1063"/>
      <c r="V22" s="1063"/>
      <c r="W22" s="1063"/>
      <c r="X22" s="1063"/>
      <c r="Y22" s="1063"/>
      <c r="Z22" s="1063"/>
      <c r="AA22" s="1063"/>
      <c r="AB22" s="1063"/>
      <c r="AC22" s="1063"/>
      <c r="AD22" s="1063"/>
      <c r="AE22" s="1063"/>
      <c r="AF22" s="1063"/>
      <c r="AG22" s="1063"/>
      <c r="AH22" s="1063"/>
      <c r="AI22" s="1063"/>
      <c r="AJ22" s="1063"/>
      <c r="AK22" s="1063"/>
      <c r="AL22" s="1063"/>
      <c r="AM22" s="1063"/>
      <c r="AN22" s="1063"/>
      <c r="AO22" s="1063"/>
      <c r="IN22" s="1023"/>
      <c r="IO22" s="1023"/>
      <c r="IP22" s="1023"/>
      <c r="IQ22" s="1023"/>
      <c r="IR22" s="1023"/>
      <c r="IS22" s="1023"/>
      <c r="IT22" s="1023"/>
      <c r="IU22" s="1023"/>
      <c r="IV22" s="1023"/>
    </row>
    <row r="23" spans="1:256" s="1059" customFormat="1" ht="12.75" customHeight="1">
      <c r="A23" s="1055" t="s">
        <v>107</v>
      </c>
      <c r="B23" s="1060" t="s">
        <v>106</v>
      </c>
      <c r="C23" s="1056" t="s">
        <v>108</v>
      </c>
      <c r="D23" s="1064">
        <f>IF('Saisie '!C20="","",'Saisie '!C20)</f>
      </c>
      <c r="E23" s="1064"/>
      <c r="F23" s="1064"/>
      <c r="G23" s="1064"/>
      <c r="H23" s="1064"/>
      <c r="I23" s="1064"/>
      <c r="J23" s="1064"/>
      <c r="K23" s="1064"/>
      <c r="L23" s="1064"/>
      <c r="M23" s="1064"/>
      <c r="N23" s="1064"/>
      <c r="O23" s="1064"/>
      <c r="P23" s="1064"/>
      <c r="Q23" s="1064"/>
      <c r="R23" s="1064"/>
      <c r="S23" s="1064"/>
      <c r="T23" s="1064"/>
      <c r="U23" s="1064"/>
      <c r="V23" s="1064"/>
      <c r="W23" s="1064"/>
      <c r="X23" s="1064"/>
      <c r="Y23" s="1064"/>
      <c r="Z23" s="1064"/>
      <c r="AA23" s="1064"/>
      <c r="AB23" s="1064"/>
      <c r="AC23" s="1064"/>
      <c r="AD23" s="1064"/>
      <c r="AE23" s="1064"/>
      <c r="AF23" s="1064"/>
      <c r="AG23" s="1064"/>
      <c r="AH23" s="1064"/>
      <c r="AI23" s="1064"/>
      <c r="AJ23" s="1064"/>
      <c r="AK23" s="1064"/>
      <c r="AL23" s="1064"/>
      <c r="AM23" s="1064"/>
      <c r="AN23" s="1064"/>
      <c r="AO23" s="1064"/>
      <c r="IN23" s="1023"/>
      <c r="IO23" s="1023"/>
      <c r="IP23" s="1023"/>
      <c r="IQ23" s="1023"/>
      <c r="IR23" s="1023"/>
      <c r="IS23" s="1023"/>
      <c r="IT23" s="1023"/>
      <c r="IU23" s="1023"/>
      <c r="IV23" s="1023"/>
    </row>
    <row r="24" spans="1:256" s="1059" customFormat="1" ht="12.75" customHeight="1">
      <c r="A24" s="1055" t="s">
        <v>112</v>
      </c>
      <c r="B24" s="1060" t="s">
        <v>111</v>
      </c>
      <c r="C24" s="1056" t="s">
        <v>113</v>
      </c>
      <c r="D24" s="1064">
        <f>IF('Saisie '!C21="","",'Saisie '!C21)</f>
      </c>
      <c r="E24" s="1064"/>
      <c r="F24" s="1064"/>
      <c r="G24" s="1064"/>
      <c r="H24" s="1064"/>
      <c r="I24" s="1064"/>
      <c r="J24" s="1064"/>
      <c r="K24" s="1064"/>
      <c r="L24" s="1064"/>
      <c r="M24" s="1064"/>
      <c r="N24" s="1064"/>
      <c r="O24" s="1064"/>
      <c r="P24" s="1064"/>
      <c r="Q24" s="1064"/>
      <c r="R24" s="1064"/>
      <c r="S24" s="1064"/>
      <c r="T24" s="1064"/>
      <c r="U24" s="1064"/>
      <c r="V24" s="1064"/>
      <c r="W24" s="1064"/>
      <c r="X24" s="1064"/>
      <c r="Y24" s="1064"/>
      <c r="Z24" s="1064"/>
      <c r="AA24" s="1064"/>
      <c r="AB24" s="1064"/>
      <c r="AC24" s="1064"/>
      <c r="AD24" s="1064"/>
      <c r="AE24" s="1064"/>
      <c r="AF24" s="1064"/>
      <c r="AG24" s="1064"/>
      <c r="AH24" s="1064"/>
      <c r="AI24" s="1064"/>
      <c r="AJ24" s="1064"/>
      <c r="AK24" s="1064"/>
      <c r="AL24" s="1064"/>
      <c r="AM24" s="1064"/>
      <c r="AN24" s="1064"/>
      <c r="AO24" s="1064"/>
      <c r="IN24" s="1023"/>
      <c r="IO24" s="1023"/>
      <c r="IP24" s="1023"/>
      <c r="IQ24" s="1023"/>
      <c r="IR24" s="1023"/>
      <c r="IS24" s="1023"/>
      <c r="IT24" s="1023"/>
      <c r="IU24" s="1023"/>
      <c r="IV24" s="1023"/>
    </row>
    <row r="25" spans="1:256" s="1059" customFormat="1" ht="12.75" customHeight="1">
      <c r="A25" s="1055"/>
      <c r="B25" s="1060"/>
      <c r="C25" s="1056"/>
      <c r="D25" s="1064"/>
      <c r="E25" s="1064"/>
      <c r="F25" s="1064"/>
      <c r="G25" s="1064"/>
      <c r="H25" s="1064"/>
      <c r="I25" s="1064"/>
      <c r="J25" s="1064"/>
      <c r="K25" s="1064"/>
      <c r="L25" s="1064"/>
      <c r="M25" s="1064"/>
      <c r="N25" s="1064"/>
      <c r="O25" s="1064"/>
      <c r="P25" s="1064"/>
      <c r="Q25" s="1064"/>
      <c r="R25" s="1064"/>
      <c r="S25" s="1064"/>
      <c r="T25" s="1064"/>
      <c r="U25" s="1064"/>
      <c r="V25" s="1064"/>
      <c r="W25" s="1064"/>
      <c r="X25" s="1064"/>
      <c r="Y25" s="1064"/>
      <c r="Z25" s="1064"/>
      <c r="AA25" s="1064"/>
      <c r="AB25" s="1064"/>
      <c r="AC25" s="1064"/>
      <c r="AD25" s="1064"/>
      <c r="AE25" s="1064"/>
      <c r="AF25" s="1064"/>
      <c r="AG25" s="1064"/>
      <c r="AH25" s="1064"/>
      <c r="AI25" s="1064"/>
      <c r="AJ25" s="1064"/>
      <c r="AK25" s="1064"/>
      <c r="AL25" s="1064"/>
      <c r="AM25" s="1064"/>
      <c r="AN25" s="1064"/>
      <c r="AO25" s="1064"/>
      <c r="IN25" s="1023"/>
      <c r="IO25" s="1023"/>
      <c r="IP25" s="1023"/>
      <c r="IQ25" s="1023"/>
      <c r="IR25" s="1023"/>
      <c r="IS25" s="1023"/>
      <c r="IT25" s="1023"/>
      <c r="IU25" s="1023"/>
      <c r="IV25" s="1023"/>
    </row>
    <row r="26" spans="1:256" s="1059" customFormat="1" ht="12.75" customHeight="1">
      <c r="A26" s="1055" t="s">
        <v>115</v>
      </c>
      <c r="B26" s="1060" t="s">
        <v>114</v>
      </c>
      <c r="C26" s="1056" t="s">
        <v>778</v>
      </c>
      <c r="D26" s="1064">
        <f>IF('Saisie '!C22="","",'Saisie '!C22)</f>
      </c>
      <c r="E26" s="1064"/>
      <c r="F26" s="1064"/>
      <c r="G26" s="1064"/>
      <c r="H26" s="1064"/>
      <c r="I26" s="1064"/>
      <c r="J26" s="1064"/>
      <c r="K26" s="1064"/>
      <c r="L26" s="1064"/>
      <c r="M26" s="1064"/>
      <c r="N26" s="1064"/>
      <c r="O26" s="1064"/>
      <c r="P26" s="1064"/>
      <c r="Q26" s="1064"/>
      <c r="R26" s="1064"/>
      <c r="S26" s="1064"/>
      <c r="T26" s="1064"/>
      <c r="U26" s="1064"/>
      <c r="V26" s="1064"/>
      <c r="W26" s="1064"/>
      <c r="X26" s="1064"/>
      <c r="Y26" s="1064"/>
      <c r="Z26" s="1064"/>
      <c r="AA26" s="1064"/>
      <c r="AB26" s="1064"/>
      <c r="AC26" s="1064"/>
      <c r="AD26" s="1064"/>
      <c r="AE26" s="1064"/>
      <c r="AF26" s="1064"/>
      <c r="AG26" s="1064"/>
      <c r="AH26" s="1064"/>
      <c r="AI26" s="1064"/>
      <c r="AJ26" s="1064"/>
      <c r="AK26" s="1064"/>
      <c r="AL26" s="1064"/>
      <c r="AM26" s="1064"/>
      <c r="AN26" s="1064"/>
      <c r="AO26" s="1064"/>
      <c r="IN26" s="1023"/>
      <c r="IO26" s="1023"/>
      <c r="IP26" s="1023"/>
      <c r="IQ26" s="1023"/>
      <c r="IR26" s="1023"/>
      <c r="IS26" s="1023"/>
      <c r="IT26" s="1023"/>
      <c r="IU26" s="1023"/>
      <c r="IV26" s="1023"/>
    </row>
    <row r="27" spans="1:256" s="1059" customFormat="1" ht="12.75" customHeight="1">
      <c r="A27" s="1055" t="s">
        <v>118</v>
      </c>
      <c r="B27" s="1060" t="s">
        <v>117</v>
      </c>
      <c r="C27" s="1056" t="s">
        <v>778</v>
      </c>
      <c r="D27" s="1064">
        <f>IF('Saisie '!C23="","",'Saisie '!C23)</f>
      </c>
      <c r="E27" s="1064"/>
      <c r="F27" s="1064"/>
      <c r="G27" s="1064"/>
      <c r="H27" s="1064"/>
      <c r="I27" s="1064"/>
      <c r="J27" s="1064"/>
      <c r="K27" s="1064"/>
      <c r="L27" s="1064"/>
      <c r="M27" s="1064"/>
      <c r="N27" s="1064"/>
      <c r="O27" s="1064"/>
      <c r="P27" s="1064"/>
      <c r="Q27" s="1064"/>
      <c r="R27" s="1064"/>
      <c r="S27" s="1064"/>
      <c r="T27" s="1064"/>
      <c r="U27" s="1064"/>
      <c r="V27" s="1064"/>
      <c r="W27" s="1064"/>
      <c r="X27" s="1064"/>
      <c r="Y27" s="1064"/>
      <c r="Z27" s="1064"/>
      <c r="AA27" s="1064"/>
      <c r="AB27" s="1064"/>
      <c r="AC27" s="1064"/>
      <c r="AD27" s="1064"/>
      <c r="AE27" s="1064"/>
      <c r="AF27" s="1064"/>
      <c r="AG27" s="1064"/>
      <c r="AH27" s="1064"/>
      <c r="AI27" s="1064"/>
      <c r="AJ27" s="1064"/>
      <c r="AK27" s="1064"/>
      <c r="AL27" s="1064"/>
      <c r="AM27" s="1064"/>
      <c r="AN27" s="1064"/>
      <c r="AO27" s="1064"/>
      <c r="IN27" s="1023"/>
      <c r="IO27" s="1023"/>
      <c r="IP27" s="1023"/>
      <c r="IQ27" s="1023"/>
      <c r="IR27" s="1023"/>
      <c r="IS27" s="1023"/>
      <c r="IT27" s="1023"/>
      <c r="IU27" s="1023"/>
      <c r="IV27" s="1023"/>
    </row>
    <row r="28" spans="1:256" s="1059" customFormat="1" ht="12.75" customHeight="1">
      <c r="A28" s="1055" t="s">
        <v>120</v>
      </c>
      <c r="B28" s="1060" t="s">
        <v>119</v>
      </c>
      <c r="C28" s="1056" t="s">
        <v>121</v>
      </c>
      <c r="D28" s="1064">
        <f>IF('Saisie '!C24="","",'Saisie '!C24)</f>
      </c>
      <c r="E28" s="1064"/>
      <c r="F28" s="1064"/>
      <c r="G28" s="1064"/>
      <c r="H28" s="1064"/>
      <c r="I28" s="1064"/>
      <c r="J28" s="1064"/>
      <c r="K28" s="1064"/>
      <c r="L28" s="1064"/>
      <c r="M28" s="1064"/>
      <c r="N28" s="1064"/>
      <c r="O28" s="1064"/>
      <c r="P28" s="1064"/>
      <c r="Q28" s="1064"/>
      <c r="R28" s="1064"/>
      <c r="S28" s="1064"/>
      <c r="T28" s="1064"/>
      <c r="U28" s="1064"/>
      <c r="V28" s="1064"/>
      <c r="W28" s="1064"/>
      <c r="X28" s="1064"/>
      <c r="Y28" s="1064"/>
      <c r="Z28" s="1064"/>
      <c r="AA28" s="1064"/>
      <c r="AB28" s="1064"/>
      <c r="AC28" s="1064"/>
      <c r="AD28" s="1064"/>
      <c r="AE28" s="1064"/>
      <c r="AF28" s="1064"/>
      <c r="AG28" s="1064"/>
      <c r="AH28" s="1064"/>
      <c r="AI28" s="1064"/>
      <c r="AJ28" s="1064"/>
      <c r="AK28" s="1064"/>
      <c r="AL28" s="1064"/>
      <c r="AM28" s="1064"/>
      <c r="AN28" s="1064"/>
      <c r="AO28" s="1064"/>
      <c r="IN28" s="1023"/>
      <c r="IO28" s="1023"/>
      <c r="IP28" s="1023"/>
      <c r="IQ28" s="1023"/>
      <c r="IR28" s="1023"/>
      <c r="IS28" s="1023"/>
      <c r="IT28" s="1023"/>
      <c r="IU28" s="1023"/>
      <c r="IV28" s="1023"/>
    </row>
    <row r="29" spans="1:256" s="1059" customFormat="1" ht="12.75" customHeight="1">
      <c r="A29" s="1055" t="s">
        <v>124</v>
      </c>
      <c r="B29" s="1060" t="s">
        <v>123</v>
      </c>
      <c r="C29" s="1056" t="s">
        <v>121</v>
      </c>
      <c r="D29" s="1064">
        <f>IF('Saisie '!C25="","",'Saisie '!C25)</f>
      </c>
      <c r="E29" s="1064"/>
      <c r="F29" s="1064"/>
      <c r="G29" s="1064"/>
      <c r="H29" s="1064"/>
      <c r="I29" s="1064"/>
      <c r="J29" s="1064"/>
      <c r="K29" s="1064"/>
      <c r="L29" s="1064"/>
      <c r="M29" s="1064"/>
      <c r="N29" s="1064"/>
      <c r="O29" s="1064"/>
      <c r="P29" s="1064"/>
      <c r="Q29" s="1064"/>
      <c r="R29" s="1064"/>
      <c r="S29" s="1064"/>
      <c r="T29" s="1064"/>
      <c r="U29" s="1064"/>
      <c r="V29" s="1064"/>
      <c r="W29" s="1064"/>
      <c r="X29" s="1064"/>
      <c r="Y29" s="1064"/>
      <c r="Z29" s="1064"/>
      <c r="AA29" s="1064"/>
      <c r="AB29" s="1064"/>
      <c r="AC29" s="1064"/>
      <c r="AD29" s="1064"/>
      <c r="AE29" s="1064"/>
      <c r="AF29" s="1064"/>
      <c r="AG29" s="1064"/>
      <c r="AH29" s="1064"/>
      <c r="AI29" s="1064"/>
      <c r="AJ29" s="1064"/>
      <c r="AK29" s="1064"/>
      <c r="AL29" s="1064"/>
      <c r="AM29" s="1064"/>
      <c r="AN29" s="1064"/>
      <c r="AO29" s="1064"/>
      <c r="IN29" s="1023"/>
      <c r="IO29" s="1023"/>
      <c r="IP29" s="1023"/>
      <c r="IQ29" s="1023"/>
      <c r="IR29" s="1023"/>
      <c r="IS29" s="1023"/>
      <c r="IT29" s="1023"/>
      <c r="IU29" s="1023"/>
      <c r="IV29" s="1023"/>
    </row>
    <row r="30" spans="1:256" s="1059" customFormat="1" ht="12.75" customHeight="1">
      <c r="A30" s="1055" t="s">
        <v>126</v>
      </c>
      <c r="B30" s="1060" t="s">
        <v>125</v>
      </c>
      <c r="C30" s="1056" t="s">
        <v>121</v>
      </c>
      <c r="D30" s="1064">
        <f>IF('Saisie '!C26="","",'Saisie '!C26)</f>
      </c>
      <c r="E30" s="1064"/>
      <c r="F30" s="1064"/>
      <c r="G30" s="1064"/>
      <c r="H30" s="1064"/>
      <c r="I30" s="1064"/>
      <c r="J30" s="1064"/>
      <c r="K30" s="1064"/>
      <c r="L30" s="1064"/>
      <c r="M30" s="1064"/>
      <c r="N30" s="1064"/>
      <c r="O30" s="1064"/>
      <c r="P30" s="1064"/>
      <c r="Q30" s="1064"/>
      <c r="R30" s="1064"/>
      <c r="S30" s="1064"/>
      <c r="T30" s="1064"/>
      <c r="U30" s="1064"/>
      <c r="V30" s="1064"/>
      <c r="W30" s="1064"/>
      <c r="X30" s="1064"/>
      <c r="Y30" s="1064"/>
      <c r="Z30" s="1064"/>
      <c r="AA30" s="1064"/>
      <c r="AB30" s="1064"/>
      <c r="AC30" s="1064"/>
      <c r="AD30" s="1064"/>
      <c r="AE30" s="1064"/>
      <c r="AF30" s="1064"/>
      <c r="AG30" s="1064"/>
      <c r="AH30" s="1064"/>
      <c r="AI30" s="1064"/>
      <c r="AJ30" s="1064"/>
      <c r="AK30" s="1064"/>
      <c r="AL30" s="1064"/>
      <c r="AM30" s="1064"/>
      <c r="AN30" s="1064"/>
      <c r="AO30" s="1064"/>
      <c r="IN30" s="1023"/>
      <c r="IO30" s="1023"/>
      <c r="IP30" s="1023"/>
      <c r="IQ30" s="1023"/>
      <c r="IR30" s="1023"/>
      <c r="IS30" s="1023"/>
      <c r="IT30" s="1023"/>
      <c r="IU30" s="1023"/>
      <c r="IV30" s="1023"/>
    </row>
    <row r="31" spans="1:256" s="1059" customFormat="1" ht="12.75" customHeight="1">
      <c r="A31" s="1055" t="s">
        <v>128</v>
      </c>
      <c r="B31" s="1060" t="s">
        <v>127</v>
      </c>
      <c r="C31" s="1056" t="s">
        <v>121</v>
      </c>
      <c r="D31" s="1064">
        <f>IF('Saisie '!C27="","",'Saisie '!C27)</f>
      </c>
      <c r="E31" s="1064"/>
      <c r="F31" s="1064"/>
      <c r="G31" s="1064"/>
      <c r="H31" s="1064"/>
      <c r="I31" s="1064"/>
      <c r="J31" s="1064"/>
      <c r="K31" s="1064"/>
      <c r="L31" s="1064"/>
      <c r="M31" s="1064"/>
      <c r="N31" s="1064"/>
      <c r="O31" s="1064"/>
      <c r="P31" s="1064"/>
      <c r="Q31" s="1064"/>
      <c r="R31" s="1064"/>
      <c r="S31" s="1064"/>
      <c r="T31" s="1064"/>
      <c r="U31" s="1064"/>
      <c r="V31" s="1064"/>
      <c r="W31" s="1064"/>
      <c r="X31" s="1064"/>
      <c r="Y31" s="1064"/>
      <c r="Z31" s="1064"/>
      <c r="AA31" s="1064"/>
      <c r="AB31" s="1064"/>
      <c r="AC31" s="1064"/>
      <c r="AD31" s="1064"/>
      <c r="AE31" s="1064"/>
      <c r="AF31" s="1064"/>
      <c r="AG31" s="1064"/>
      <c r="AH31" s="1064"/>
      <c r="AI31" s="1064"/>
      <c r="AJ31" s="1064"/>
      <c r="AK31" s="1064"/>
      <c r="AL31" s="1064"/>
      <c r="AM31" s="1064"/>
      <c r="AN31" s="1064"/>
      <c r="AO31" s="1064"/>
      <c r="IN31" s="1023"/>
      <c r="IO31" s="1023"/>
      <c r="IP31" s="1023"/>
      <c r="IQ31" s="1023"/>
      <c r="IR31" s="1023"/>
      <c r="IS31" s="1023"/>
      <c r="IT31" s="1023"/>
      <c r="IU31" s="1023"/>
      <c r="IV31" s="1023"/>
    </row>
    <row r="32" spans="1:256" s="1059" customFormat="1" ht="12.75" customHeight="1">
      <c r="A32" s="1055" t="s">
        <v>130</v>
      </c>
      <c r="B32" s="1060" t="s">
        <v>129</v>
      </c>
      <c r="C32" s="1056" t="s">
        <v>121</v>
      </c>
      <c r="D32" s="1064">
        <f>IF('Saisie '!C28="","",'Saisie '!C28)</f>
      </c>
      <c r="E32" s="1064"/>
      <c r="F32" s="1064"/>
      <c r="G32" s="1064"/>
      <c r="H32" s="1064"/>
      <c r="I32" s="1064"/>
      <c r="J32" s="1064"/>
      <c r="K32" s="1064"/>
      <c r="L32" s="1064"/>
      <c r="M32" s="1064"/>
      <c r="N32" s="1064"/>
      <c r="O32" s="1064"/>
      <c r="P32" s="1064"/>
      <c r="Q32" s="1064"/>
      <c r="R32" s="1064"/>
      <c r="S32" s="1064"/>
      <c r="T32" s="1064"/>
      <c r="U32" s="1064"/>
      <c r="V32" s="1064"/>
      <c r="W32" s="1064"/>
      <c r="X32" s="1064"/>
      <c r="Y32" s="1064"/>
      <c r="Z32" s="1064"/>
      <c r="AA32" s="1064"/>
      <c r="AB32" s="1064"/>
      <c r="AC32" s="1064"/>
      <c r="AD32" s="1064"/>
      <c r="AE32" s="1064"/>
      <c r="AF32" s="1064"/>
      <c r="AG32" s="1064"/>
      <c r="AH32" s="1064"/>
      <c r="AI32" s="1064"/>
      <c r="AJ32" s="1064"/>
      <c r="AK32" s="1064"/>
      <c r="AL32" s="1064"/>
      <c r="AM32" s="1064"/>
      <c r="AN32" s="1064"/>
      <c r="AO32" s="1064"/>
      <c r="IN32" s="1023"/>
      <c r="IO32" s="1023"/>
      <c r="IP32" s="1023"/>
      <c r="IQ32" s="1023"/>
      <c r="IR32" s="1023"/>
      <c r="IS32" s="1023"/>
      <c r="IT32" s="1023"/>
      <c r="IU32" s="1023"/>
      <c r="IV32" s="1023"/>
    </row>
    <row r="33" spans="1:256" s="1059" customFormat="1" ht="12.75" customHeight="1">
      <c r="A33" s="1055" t="s">
        <v>132</v>
      </c>
      <c r="B33" s="1060" t="s">
        <v>131</v>
      </c>
      <c r="C33" s="1056" t="s">
        <v>121</v>
      </c>
      <c r="D33" s="1064">
        <f>IF('Saisie '!C29="","",'Saisie '!C29)</f>
      </c>
      <c r="E33" s="1064"/>
      <c r="F33" s="1064"/>
      <c r="G33" s="1064"/>
      <c r="H33" s="1064"/>
      <c r="I33" s="1064"/>
      <c r="J33" s="1064"/>
      <c r="K33" s="1064"/>
      <c r="L33" s="1064"/>
      <c r="M33" s="1064"/>
      <c r="N33" s="1064"/>
      <c r="O33" s="1064"/>
      <c r="P33" s="1064"/>
      <c r="Q33" s="1064"/>
      <c r="R33" s="1064"/>
      <c r="S33" s="1064"/>
      <c r="T33" s="1064"/>
      <c r="U33" s="1064"/>
      <c r="V33" s="1064"/>
      <c r="W33" s="1064"/>
      <c r="X33" s="1064"/>
      <c r="Y33" s="1064"/>
      <c r="Z33" s="1064"/>
      <c r="AA33" s="1064"/>
      <c r="AB33" s="1064"/>
      <c r="AC33" s="1064"/>
      <c r="AD33" s="1064"/>
      <c r="AE33" s="1064"/>
      <c r="AF33" s="1064"/>
      <c r="AG33" s="1064"/>
      <c r="AH33" s="1064"/>
      <c r="AI33" s="1064"/>
      <c r="AJ33" s="1064"/>
      <c r="AK33" s="1064"/>
      <c r="AL33" s="1064"/>
      <c r="AM33" s="1064"/>
      <c r="AN33" s="1064"/>
      <c r="AO33" s="1064"/>
      <c r="IN33" s="1023"/>
      <c r="IO33" s="1023"/>
      <c r="IP33" s="1023"/>
      <c r="IQ33" s="1023"/>
      <c r="IR33" s="1023"/>
      <c r="IS33" s="1023"/>
      <c r="IT33" s="1023"/>
      <c r="IU33" s="1023"/>
      <c r="IV33" s="1023"/>
    </row>
    <row r="34" spans="1:256" s="1059" customFormat="1" ht="12.75" customHeight="1">
      <c r="A34" s="1055" t="s">
        <v>134</v>
      </c>
      <c r="B34" s="1060" t="s">
        <v>133</v>
      </c>
      <c r="C34" s="1056" t="s">
        <v>135</v>
      </c>
      <c r="D34" s="1064">
        <f>IF('Saisie '!C30="","",'Saisie '!C30)</f>
      </c>
      <c r="E34" s="1064"/>
      <c r="F34" s="1064"/>
      <c r="G34" s="1064"/>
      <c r="H34" s="1064"/>
      <c r="I34" s="1064"/>
      <c r="J34" s="1064"/>
      <c r="K34" s="1064"/>
      <c r="L34" s="1064"/>
      <c r="M34" s="1064"/>
      <c r="N34" s="1064"/>
      <c r="O34" s="1064"/>
      <c r="P34" s="1064"/>
      <c r="Q34" s="1064"/>
      <c r="R34" s="1064"/>
      <c r="S34" s="1064"/>
      <c r="T34" s="1064"/>
      <c r="U34" s="1064"/>
      <c r="V34" s="1064"/>
      <c r="W34" s="1064"/>
      <c r="X34" s="1064"/>
      <c r="Y34" s="1064"/>
      <c r="Z34" s="1064"/>
      <c r="AA34" s="1064"/>
      <c r="AB34" s="1064"/>
      <c r="AC34" s="1064"/>
      <c r="AD34" s="1064"/>
      <c r="AE34" s="1064"/>
      <c r="AF34" s="1064"/>
      <c r="AG34" s="1064"/>
      <c r="AH34" s="1064"/>
      <c r="AI34" s="1064"/>
      <c r="AJ34" s="1064"/>
      <c r="AK34" s="1064"/>
      <c r="AL34" s="1064"/>
      <c r="AM34" s="1064"/>
      <c r="AN34" s="1064"/>
      <c r="AO34" s="1064"/>
      <c r="IN34" s="1023"/>
      <c r="IO34" s="1023"/>
      <c r="IP34" s="1023"/>
      <c r="IQ34" s="1023"/>
      <c r="IR34" s="1023"/>
      <c r="IS34" s="1023"/>
      <c r="IT34" s="1023"/>
      <c r="IU34" s="1023"/>
      <c r="IV34" s="1023"/>
    </row>
    <row r="35" spans="1:256" s="1059" customFormat="1" ht="12.75" customHeight="1">
      <c r="A35" s="1055" t="s">
        <v>138</v>
      </c>
      <c r="B35" s="1060" t="s">
        <v>137</v>
      </c>
      <c r="C35" s="1056" t="s">
        <v>135</v>
      </c>
      <c r="D35" s="1064">
        <f>IF('Saisie '!C31="","",'Saisie '!C31)</f>
      </c>
      <c r="E35" s="1064"/>
      <c r="F35" s="1064"/>
      <c r="G35" s="1064"/>
      <c r="H35" s="1064"/>
      <c r="I35" s="1064"/>
      <c r="J35" s="1064"/>
      <c r="K35" s="1064"/>
      <c r="L35" s="1064"/>
      <c r="M35" s="1064"/>
      <c r="N35" s="1064"/>
      <c r="O35" s="1064"/>
      <c r="P35" s="1064"/>
      <c r="Q35" s="1064"/>
      <c r="R35" s="1064"/>
      <c r="S35" s="1064"/>
      <c r="T35" s="1064"/>
      <c r="U35" s="1064"/>
      <c r="V35" s="1064"/>
      <c r="W35" s="1064"/>
      <c r="X35" s="1064"/>
      <c r="Y35" s="1064"/>
      <c r="Z35" s="1064"/>
      <c r="AA35" s="1064"/>
      <c r="AB35" s="1064"/>
      <c r="AC35" s="1064"/>
      <c r="AD35" s="1064"/>
      <c r="AE35" s="1064"/>
      <c r="AF35" s="1064"/>
      <c r="AG35" s="1064"/>
      <c r="AH35" s="1064"/>
      <c r="AI35" s="1064"/>
      <c r="AJ35" s="1064"/>
      <c r="AK35" s="1064"/>
      <c r="AL35" s="1064"/>
      <c r="AM35" s="1064"/>
      <c r="AN35" s="1064"/>
      <c r="AO35" s="1064"/>
      <c r="IN35" s="1023"/>
      <c r="IO35" s="1023"/>
      <c r="IP35" s="1023"/>
      <c r="IQ35" s="1023"/>
      <c r="IR35" s="1023"/>
      <c r="IS35" s="1023"/>
      <c r="IT35" s="1023"/>
      <c r="IU35" s="1023"/>
      <c r="IV35" s="1023"/>
    </row>
    <row r="36" spans="1:256" s="1059" customFormat="1" ht="12.75" customHeight="1">
      <c r="A36" s="1055" t="s">
        <v>140</v>
      </c>
      <c r="B36" s="1060" t="s">
        <v>139</v>
      </c>
      <c r="C36" s="1056" t="s">
        <v>135</v>
      </c>
      <c r="D36" s="1064">
        <f>IF('Saisie '!C32="","",'Saisie '!C32)</f>
      </c>
      <c r="E36" s="1064"/>
      <c r="F36" s="1064"/>
      <c r="G36" s="1064"/>
      <c r="H36" s="1064"/>
      <c r="I36" s="1064"/>
      <c r="J36" s="1064"/>
      <c r="K36" s="1064"/>
      <c r="L36" s="1064"/>
      <c r="M36" s="1064"/>
      <c r="N36" s="1064"/>
      <c r="O36" s="1064"/>
      <c r="P36" s="1064"/>
      <c r="Q36" s="1064"/>
      <c r="R36" s="1064"/>
      <c r="S36" s="1064"/>
      <c r="T36" s="1064"/>
      <c r="U36" s="1064"/>
      <c r="V36" s="1064"/>
      <c r="W36" s="1064"/>
      <c r="X36" s="1064"/>
      <c r="Y36" s="1064"/>
      <c r="Z36" s="1064"/>
      <c r="AA36" s="1064"/>
      <c r="AB36" s="1064"/>
      <c r="AC36" s="1064"/>
      <c r="AD36" s="1064"/>
      <c r="AE36" s="1064"/>
      <c r="AF36" s="1064"/>
      <c r="AG36" s="1064"/>
      <c r="AH36" s="1064"/>
      <c r="AI36" s="1064"/>
      <c r="AJ36" s="1064"/>
      <c r="AK36" s="1064"/>
      <c r="AL36" s="1064"/>
      <c r="AM36" s="1064"/>
      <c r="AN36" s="1064"/>
      <c r="AO36" s="1064"/>
      <c r="IN36" s="1023"/>
      <c r="IO36" s="1023"/>
      <c r="IP36" s="1023"/>
      <c r="IQ36" s="1023"/>
      <c r="IR36" s="1023"/>
      <c r="IS36" s="1023"/>
      <c r="IT36" s="1023"/>
      <c r="IU36" s="1023"/>
      <c r="IV36" s="1023"/>
    </row>
    <row r="37" spans="1:256" s="1059" customFormat="1" ht="12.75" customHeight="1">
      <c r="A37" s="1055" t="s">
        <v>142</v>
      </c>
      <c r="B37" s="1060" t="s">
        <v>141</v>
      </c>
      <c r="C37" s="1056" t="s">
        <v>135</v>
      </c>
      <c r="D37" s="1064">
        <f>IF('Saisie '!C33="","",'Saisie '!C33)</f>
      </c>
      <c r="E37" s="1064"/>
      <c r="F37" s="1064"/>
      <c r="G37" s="1064"/>
      <c r="H37" s="1064"/>
      <c r="I37" s="1064"/>
      <c r="J37" s="1064"/>
      <c r="K37" s="1064"/>
      <c r="L37" s="1064"/>
      <c r="M37" s="1064"/>
      <c r="N37" s="1064"/>
      <c r="O37" s="1064"/>
      <c r="P37" s="1064"/>
      <c r="Q37" s="1064"/>
      <c r="R37" s="1064"/>
      <c r="S37" s="1064"/>
      <c r="T37" s="1064"/>
      <c r="U37" s="1064"/>
      <c r="V37" s="1064"/>
      <c r="W37" s="1064"/>
      <c r="X37" s="1064"/>
      <c r="Y37" s="1064"/>
      <c r="Z37" s="1064"/>
      <c r="AA37" s="1064"/>
      <c r="AB37" s="1064"/>
      <c r="AC37" s="1064"/>
      <c r="AD37" s="1064"/>
      <c r="AE37" s="1064"/>
      <c r="AF37" s="1064"/>
      <c r="AG37" s="1064"/>
      <c r="AH37" s="1064"/>
      <c r="AI37" s="1064"/>
      <c r="AJ37" s="1064"/>
      <c r="AK37" s="1064"/>
      <c r="AL37" s="1064"/>
      <c r="AM37" s="1064"/>
      <c r="AN37" s="1064"/>
      <c r="AO37" s="1064"/>
      <c r="IN37" s="1023"/>
      <c r="IO37" s="1023"/>
      <c r="IP37" s="1023"/>
      <c r="IQ37" s="1023"/>
      <c r="IR37" s="1023"/>
      <c r="IS37" s="1023"/>
      <c r="IT37" s="1023"/>
      <c r="IU37" s="1023"/>
      <c r="IV37" s="1023"/>
    </row>
    <row r="38" spans="1:256" s="1059" customFormat="1" ht="12.75" customHeight="1">
      <c r="A38" s="1055" t="s">
        <v>145</v>
      </c>
      <c r="B38" s="1060" t="s">
        <v>144</v>
      </c>
      <c r="C38" s="1056" t="s">
        <v>135</v>
      </c>
      <c r="D38" s="1064">
        <f>IF('Saisie '!C34="","",'Saisie '!C34)</f>
      </c>
      <c r="E38" s="1064"/>
      <c r="F38" s="1064"/>
      <c r="G38" s="1064"/>
      <c r="H38" s="1064"/>
      <c r="I38" s="1064"/>
      <c r="J38" s="1064"/>
      <c r="K38" s="1064"/>
      <c r="L38" s="1064"/>
      <c r="M38" s="1064"/>
      <c r="N38" s="1064"/>
      <c r="O38" s="1064"/>
      <c r="P38" s="1064"/>
      <c r="Q38" s="1064"/>
      <c r="R38" s="1064"/>
      <c r="S38" s="1064"/>
      <c r="T38" s="1064"/>
      <c r="U38" s="1064"/>
      <c r="V38" s="1064"/>
      <c r="W38" s="1064"/>
      <c r="X38" s="1064"/>
      <c r="Y38" s="1064"/>
      <c r="Z38" s="1064"/>
      <c r="AA38" s="1064"/>
      <c r="AB38" s="1064"/>
      <c r="AC38" s="1064"/>
      <c r="AD38" s="1064"/>
      <c r="AE38" s="1064"/>
      <c r="AF38" s="1064"/>
      <c r="AG38" s="1064"/>
      <c r="AH38" s="1064"/>
      <c r="AI38" s="1064"/>
      <c r="AJ38" s="1064"/>
      <c r="AK38" s="1064"/>
      <c r="AL38" s="1064"/>
      <c r="AM38" s="1064"/>
      <c r="AN38" s="1064"/>
      <c r="AO38" s="1064"/>
      <c r="IN38" s="1023"/>
      <c r="IO38" s="1023"/>
      <c r="IP38" s="1023"/>
      <c r="IQ38" s="1023"/>
      <c r="IR38" s="1023"/>
      <c r="IS38" s="1023"/>
      <c r="IT38" s="1023"/>
      <c r="IU38" s="1023"/>
      <c r="IV38" s="1023"/>
    </row>
    <row r="39" spans="1:256" s="1059" customFormat="1" ht="12.75" customHeight="1">
      <c r="A39" s="1055" t="s">
        <v>147</v>
      </c>
      <c r="B39" s="1060" t="s">
        <v>779</v>
      </c>
      <c r="C39" s="1056" t="s">
        <v>135</v>
      </c>
      <c r="D39" s="1064">
        <f>IF('Saisie '!C35="","",'Saisie '!C35)</f>
      </c>
      <c r="E39" s="1064"/>
      <c r="F39" s="1064"/>
      <c r="G39" s="1064"/>
      <c r="H39" s="1064"/>
      <c r="I39" s="1064"/>
      <c r="J39" s="1064"/>
      <c r="K39" s="1064"/>
      <c r="L39" s="1064"/>
      <c r="M39" s="1064"/>
      <c r="N39" s="1064"/>
      <c r="O39" s="1064"/>
      <c r="P39" s="1064"/>
      <c r="Q39" s="1064"/>
      <c r="R39" s="1064"/>
      <c r="S39" s="1064"/>
      <c r="T39" s="1064"/>
      <c r="U39" s="1064"/>
      <c r="V39" s="1064"/>
      <c r="W39" s="1064"/>
      <c r="X39" s="1064"/>
      <c r="Y39" s="1064"/>
      <c r="Z39" s="1064"/>
      <c r="AA39" s="1064"/>
      <c r="AB39" s="1064"/>
      <c r="AC39" s="1064"/>
      <c r="AD39" s="1064"/>
      <c r="AE39" s="1064"/>
      <c r="AF39" s="1064"/>
      <c r="AG39" s="1064"/>
      <c r="AH39" s="1064"/>
      <c r="AI39" s="1064"/>
      <c r="AJ39" s="1064"/>
      <c r="AK39" s="1064"/>
      <c r="AL39" s="1064"/>
      <c r="AM39" s="1064"/>
      <c r="AN39" s="1064"/>
      <c r="AO39" s="1064"/>
      <c r="IN39" s="1023"/>
      <c r="IO39" s="1023"/>
      <c r="IP39" s="1023"/>
      <c r="IQ39" s="1023"/>
      <c r="IR39" s="1023"/>
      <c r="IS39" s="1023"/>
      <c r="IT39" s="1023"/>
      <c r="IU39" s="1023"/>
      <c r="IV39" s="1023"/>
    </row>
    <row r="40" spans="1:256" s="1059" customFormat="1" ht="12.75" customHeight="1">
      <c r="A40" s="1055" t="s">
        <v>149</v>
      </c>
      <c r="B40" s="1060" t="s">
        <v>148</v>
      </c>
      <c r="C40" s="1056" t="s">
        <v>135</v>
      </c>
      <c r="D40" s="1064">
        <f>IF('Saisie '!C36="","",'Saisie '!C36)</f>
      </c>
      <c r="E40" s="1064"/>
      <c r="F40" s="1064"/>
      <c r="G40" s="1064"/>
      <c r="H40" s="1064"/>
      <c r="I40" s="1064"/>
      <c r="J40" s="1064"/>
      <c r="K40" s="1064"/>
      <c r="L40" s="1064"/>
      <c r="M40" s="1064"/>
      <c r="N40" s="1064"/>
      <c r="O40" s="1064"/>
      <c r="P40" s="1064"/>
      <c r="Q40" s="1064"/>
      <c r="R40" s="1064"/>
      <c r="S40" s="1064"/>
      <c r="T40" s="1064"/>
      <c r="U40" s="1064"/>
      <c r="V40" s="1064"/>
      <c r="W40" s="1064"/>
      <c r="X40" s="1064"/>
      <c r="Y40" s="1064"/>
      <c r="Z40" s="1064"/>
      <c r="AA40" s="1064"/>
      <c r="AB40" s="1064"/>
      <c r="AC40" s="1064"/>
      <c r="AD40" s="1064"/>
      <c r="AE40" s="1064"/>
      <c r="AF40" s="1064"/>
      <c r="AG40" s="1064"/>
      <c r="AH40" s="1064"/>
      <c r="AI40" s="1064"/>
      <c r="AJ40" s="1064"/>
      <c r="AK40" s="1064"/>
      <c r="AL40" s="1064"/>
      <c r="AM40" s="1064"/>
      <c r="AN40" s="1064"/>
      <c r="AO40" s="1064"/>
      <c r="IN40" s="1023"/>
      <c r="IO40" s="1023"/>
      <c r="IP40" s="1023"/>
      <c r="IQ40" s="1023"/>
      <c r="IR40" s="1023"/>
      <c r="IS40" s="1023"/>
      <c r="IT40" s="1023"/>
      <c r="IU40" s="1023"/>
      <c r="IV40" s="1023"/>
    </row>
    <row r="41" spans="1:256" s="1059" customFormat="1" ht="12.75" customHeight="1">
      <c r="A41" s="1055" t="s">
        <v>152</v>
      </c>
      <c r="B41" s="1060" t="s">
        <v>151</v>
      </c>
      <c r="C41" s="1056" t="s">
        <v>135</v>
      </c>
      <c r="D41" s="1064">
        <f>IF('Saisie '!C37="","",'Saisie '!C37)</f>
      </c>
      <c r="E41" s="1064"/>
      <c r="F41" s="1064"/>
      <c r="G41" s="1064"/>
      <c r="H41" s="1064"/>
      <c r="I41" s="1064"/>
      <c r="J41" s="1064"/>
      <c r="K41" s="1064"/>
      <c r="L41" s="1064"/>
      <c r="M41" s="1064"/>
      <c r="N41" s="1064"/>
      <c r="O41" s="1064"/>
      <c r="P41" s="1064"/>
      <c r="Q41" s="1064"/>
      <c r="R41" s="1064"/>
      <c r="S41" s="1064"/>
      <c r="T41" s="1064"/>
      <c r="U41" s="1064"/>
      <c r="V41" s="1064"/>
      <c r="W41" s="1064"/>
      <c r="X41" s="1064"/>
      <c r="Y41" s="1064"/>
      <c r="Z41" s="1064"/>
      <c r="AA41" s="1064"/>
      <c r="AB41" s="1064"/>
      <c r="AC41" s="1064"/>
      <c r="AD41" s="1064"/>
      <c r="AE41" s="1064"/>
      <c r="AF41" s="1064"/>
      <c r="AG41" s="1064"/>
      <c r="AH41" s="1064"/>
      <c r="AI41" s="1064"/>
      <c r="AJ41" s="1064"/>
      <c r="AK41" s="1064"/>
      <c r="AL41" s="1064"/>
      <c r="AM41" s="1064"/>
      <c r="AN41" s="1064"/>
      <c r="AO41" s="1064"/>
      <c r="IN41" s="1023"/>
      <c r="IO41" s="1023"/>
      <c r="IP41" s="1023"/>
      <c r="IQ41" s="1023"/>
      <c r="IR41" s="1023"/>
      <c r="IS41" s="1023"/>
      <c r="IT41" s="1023"/>
      <c r="IU41" s="1023"/>
      <c r="IV41" s="1023"/>
    </row>
    <row r="42" spans="1:256" s="1059" customFormat="1" ht="12.75" customHeight="1">
      <c r="A42" s="1055" t="s">
        <v>154</v>
      </c>
      <c r="B42" s="1060" t="s">
        <v>153</v>
      </c>
      <c r="C42" s="1056" t="s">
        <v>135</v>
      </c>
      <c r="D42" s="1064">
        <f>IF('Saisie '!C38="","",'Saisie '!C38)</f>
      </c>
      <c r="E42" s="1064"/>
      <c r="F42" s="1064"/>
      <c r="G42" s="1064"/>
      <c r="H42" s="1064"/>
      <c r="I42" s="1064"/>
      <c r="J42" s="1064"/>
      <c r="K42" s="1064"/>
      <c r="L42" s="1064"/>
      <c r="M42" s="1064"/>
      <c r="N42" s="1064"/>
      <c r="O42" s="1064"/>
      <c r="P42" s="1064"/>
      <c r="Q42" s="1064"/>
      <c r="R42" s="1064"/>
      <c r="S42" s="1064"/>
      <c r="T42" s="1064"/>
      <c r="U42" s="1064"/>
      <c r="V42" s="1064"/>
      <c r="W42" s="1064"/>
      <c r="X42" s="1064"/>
      <c r="Y42" s="1064"/>
      <c r="Z42" s="1064"/>
      <c r="AA42" s="1064"/>
      <c r="AB42" s="1064"/>
      <c r="AC42" s="1064"/>
      <c r="AD42" s="1064"/>
      <c r="AE42" s="1064"/>
      <c r="AF42" s="1064"/>
      <c r="AG42" s="1064"/>
      <c r="AH42" s="1064"/>
      <c r="AI42" s="1064"/>
      <c r="AJ42" s="1064"/>
      <c r="AK42" s="1064"/>
      <c r="AL42" s="1064"/>
      <c r="AM42" s="1064"/>
      <c r="AN42" s="1064"/>
      <c r="AO42" s="1064"/>
      <c r="IN42" s="1023"/>
      <c r="IO42" s="1023"/>
      <c r="IP42" s="1023"/>
      <c r="IQ42" s="1023"/>
      <c r="IR42" s="1023"/>
      <c r="IS42" s="1023"/>
      <c r="IT42" s="1023"/>
      <c r="IU42" s="1023"/>
      <c r="IV42" s="1023"/>
    </row>
    <row r="43" spans="1:256" s="1059" customFormat="1" ht="12.75" customHeight="1">
      <c r="A43" s="1055" t="s">
        <v>156</v>
      </c>
      <c r="B43" s="1060" t="s">
        <v>155</v>
      </c>
      <c r="C43" s="1056" t="s">
        <v>135</v>
      </c>
      <c r="D43" s="1064">
        <f>IF('Saisie '!C39="","",'Saisie '!C39)</f>
      </c>
      <c r="E43" s="1064"/>
      <c r="F43" s="1064"/>
      <c r="G43" s="1064"/>
      <c r="H43" s="1064"/>
      <c r="I43" s="1064"/>
      <c r="J43" s="1064"/>
      <c r="K43" s="1064"/>
      <c r="L43" s="1064"/>
      <c r="M43" s="1064"/>
      <c r="N43" s="1064"/>
      <c r="O43" s="1064"/>
      <c r="P43" s="1064"/>
      <c r="Q43" s="1064"/>
      <c r="R43" s="1064"/>
      <c r="S43" s="1064"/>
      <c r="T43" s="1064"/>
      <c r="U43" s="1064"/>
      <c r="V43" s="1064"/>
      <c r="W43" s="1064"/>
      <c r="X43" s="1064"/>
      <c r="Y43" s="1064"/>
      <c r="Z43" s="1064"/>
      <c r="AA43" s="1064"/>
      <c r="AB43" s="1064"/>
      <c r="AC43" s="1064"/>
      <c r="AD43" s="1064"/>
      <c r="AE43" s="1064"/>
      <c r="AF43" s="1064"/>
      <c r="AG43" s="1064"/>
      <c r="AH43" s="1064"/>
      <c r="AI43" s="1064"/>
      <c r="AJ43" s="1064"/>
      <c r="AK43" s="1064"/>
      <c r="AL43" s="1064"/>
      <c r="AM43" s="1064"/>
      <c r="AN43" s="1064"/>
      <c r="AO43" s="1064"/>
      <c r="IN43" s="1023"/>
      <c r="IO43" s="1023"/>
      <c r="IP43" s="1023"/>
      <c r="IQ43" s="1023"/>
      <c r="IR43" s="1023"/>
      <c r="IS43" s="1023"/>
      <c r="IT43" s="1023"/>
      <c r="IU43" s="1023"/>
      <c r="IV43" s="1023"/>
    </row>
    <row r="44" spans="1:256" s="1059" customFormat="1" ht="12.75" customHeight="1">
      <c r="A44" s="1055" t="s">
        <v>158</v>
      </c>
      <c r="B44" s="1060" t="s">
        <v>780</v>
      </c>
      <c r="C44" s="1056" t="s">
        <v>159</v>
      </c>
      <c r="D44" s="1065">
        <f>IF('Saisie '!C40="","",'Saisie '!C40)</f>
      </c>
      <c r="E44" s="1065"/>
      <c r="F44" s="1065"/>
      <c r="G44" s="1065"/>
      <c r="H44" s="1065"/>
      <c r="I44" s="1065"/>
      <c r="J44" s="1065"/>
      <c r="K44" s="1065"/>
      <c r="L44" s="1065"/>
      <c r="M44" s="1065"/>
      <c r="N44" s="1065"/>
      <c r="O44" s="1065"/>
      <c r="P44" s="1065"/>
      <c r="Q44" s="1065"/>
      <c r="R44" s="1065"/>
      <c r="S44" s="1065"/>
      <c r="T44" s="1065"/>
      <c r="U44" s="1065"/>
      <c r="V44" s="1065"/>
      <c r="W44" s="1065"/>
      <c r="X44" s="1065"/>
      <c r="Y44" s="1065"/>
      <c r="Z44" s="1065"/>
      <c r="AA44" s="1065"/>
      <c r="AB44" s="1065"/>
      <c r="AC44" s="1065"/>
      <c r="AD44" s="1065"/>
      <c r="AE44" s="1065"/>
      <c r="AF44" s="1065"/>
      <c r="AG44" s="1065"/>
      <c r="AH44" s="1065"/>
      <c r="AI44" s="1065"/>
      <c r="AJ44" s="1065"/>
      <c r="AK44" s="1065"/>
      <c r="AL44" s="1065"/>
      <c r="AM44" s="1065"/>
      <c r="AN44" s="1065"/>
      <c r="AO44" s="1065"/>
      <c r="IN44" s="1023"/>
      <c r="IO44" s="1023"/>
      <c r="IP44" s="1023"/>
      <c r="IQ44" s="1023"/>
      <c r="IR44" s="1023"/>
      <c r="IS44" s="1023"/>
      <c r="IT44" s="1023"/>
      <c r="IU44" s="1023"/>
      <c r="IV44" s="1023"/>
    </row>
    <row r="45" spans="1:256" s="1059" customFormat="1" ht="12.75" customHeight="1">
      <c r="A45" s="1066" t="s">
        <v>163</v>
      </c>
      <c r="B45" s="1060" t="s">
        <v>781</v>
      </c>
      <c r="C45" s="1056" t="s">
        <v>159</v>
      </c>
      <c r="D45" s="1065">
        <f>IF('Saisie '!C41="","",'Saisie '!C41)</f>
      </c>
      <c r="E45" s="1065"/>
      <c r="F45" s="1065"/>
      <c r="G45" s="1065"/>
      <c r="H45" s="1065"/>
      <c r="I45" s="1065"/>
      <c r="J45" s="1065"/>
      <c r="K45" s="1065"/>
      <c r="L45" s="1065"/>
      <c r="M45" s="1065"/>
      <c r="N45" s="1065"/>
      <c r="O45" s="1065"/>
      <c r="P45" s="1065"/>
      <c r="Q45" s="1065"/>
      <c r="R45" s="1065"/>
      <c r="S45" s="1065"/>
      <c r="T45" s="1065"/>
      <c r="U45" s="1065"/>
      <c r="V45" s="1065"/>
      <c r="W45" s="1065"/>
      <c r="X45" s="1065"/>
      <c r="Y45" s="1065"/>
      <c r="Z45" s="1065"/>
      <c r="AA45" s="1065"/>
      <c r="AB45" s="1065"/>
      <c r="AC45" s="1065"/>
      <c r="AD45" s="1065"/>
      <c r="AE45" s="1065"/>
      <c r="AF45" s="1065"/>
      <c r="AG45" s="1065"/>
      <c r="AH45" s="1065"/>
      <c r="AI45" s="1065"/>
      <c r="AJ45" s="1065"/>
      <c r="AK45" s="1065"/>
      <c r="AL45" s="1065"/>
      <c r="AM45" s="1065"/>
      <c r="AN45" s="1065"/>
      <c r="AO45" s="1065"/>
      <c r="IN45" s="1023"/>
      <c r="IO45" s="1023"/>
      <c r="IP45" s="1023"/>
      <c r="IQ45" s="1023"/>
      <c r="IR45" s="1023"/>
      <c r="IS45" s="1023"/>
      <c r="IT45" s="1023"/>
      <c r="IU45" s="1023"/>
      <c r="IV45" s="1023"/>
    </row>
    <row r="46" spans="1:256" s="1059" customFormat="1" ht="12.75" customHeight="1">
      <c r="A46" s="1055" t="s">
        <v>166</v>
      </c>
      <c r="B46" s="1060" t="s">
        <v>165</v>
      </c>
      <c r="C46" s="1056" t="s">
        <v>159</v>
      </c>
      <c r="D46" s="1065">
        <f>IF('Saisie '!C42="","",'Saisie '!C42)</f>
      </c>
      <c r="E46" s="1065"/>
      <c r="F46" s="1065"/>
      <c r="G46" s="1065"/>
      <c r="H46" s="1065"/>
      <c r="I46" s="1065"/>
      <c r="J46" s="1065"/>
      <c r="K46" s="1065"/>
      <c r="L46" s="1065"/>
      <c r="M46" s="1065"/>
      <c r="N46" s="1065"/>
      <c r="O46" s="1065"/>
      <c r="P46" s="1065"/>
      <c r="Q46" s="1065"/>
      <c r="R46" s="1065"/>
      <c r="S46" s="1065"/>
      <c r="T46" s="1065"/>
      <c r="U46" s="1065"/>
      <c r="V46" s="1065"/>
      <c r="W46" s="1065"/>
      <c r="X46" s="1065"/>
      <c r="Y46" s="1065"/>
      <c r="Z46" s="1065"/>
      <c r="AA46" s="1065"/>
      <c r="AB46" s="1065"/>
      <c r="AC46" s="1065"/>
      <c r="AD46" s="1065"/>
      <c r="AE46" s="1065"/>
      <c r="AF46" s="1065"/>
      <c r="AG46" s="1065"/>
      <c r="AH46" s="1065"/>
      <c r="AI46" s="1065"/>
      <c r="AJ46" s="1065"/>
      <c r="AK46" s="1065"/>
      <c r="AL46" s="1065"/>
      <c r="AM46" s="1065"/>
      <c r="AN46" s="1065"/>
      <c r="AO46" s="1065"/>
      <c r="IN46" s="1023"/>
      <c r="IO46" s="1023"/>
      <c r="IP46" s="1023"/>
      <c r="IQ46" s="1023"/>
      <c r="IR46" s="1023"/>
      <c r="IS46" s="1023"/>
      <c r="IT46" s="1023"/>
      <c r="IU46" s="1023"/>
      <c r="IV46" s="1023"/>
    </row>
    <row r="47" spans="1:256" s="1059" customFormat="1" ht="12.75" customHeight="1">
      <c r="A47" s="1055" t="s">
        <v>169</v>
      </c>
      <c r="B47" s="1060" t="s">
        <v>168</v>
      </c>
      <c r="C47" s="1056" t="s">
        <v>159</v>
      </c>
      <c r="D47" s="1065">
        <f>IF('Saisie '!C43="","",'Saisie '!C43)</f>
      </c>
      <c r="E47" s="1065"/>
      <c r="F47" s="1065"/>
      <c r="G47" s="1065"/>
      <c r="H47" s="1065"/>
      <c r="I47" s="1065"/>
      <c r="J47" s="1065"/>
      <c r="K47" s="1065"/>
      <c r="L47" s="1065"/>
      <c r="M47" s="1065"/>
      <c r="N47" s="1065"/>
      <c r="O47" s="1065"/>
      <c r="P47" s="1065"/>
      <c r="Q47" s="1065"/>
      <c r="R47" s="1065"/>
      <c r="S47" s="1065"/>
      <c r="T47" s="1065"/>
      <c r="U47" s="1065"/>
      <c r="V47" s="1065"/>
      <c r="W47" s="1065"/>
      <c r="X47" s="1065"/>
      <c r="Y47" s="1065"/>
      <c r="Z47" s="1065"/>
      <c r="AA47" s="1065"/>
      <c r="AB47" s="1065"/>
      <c r="AC47" s="1065"/>
      <c r="AD47" s="1065"/>
      <c r="AE47" s="1065"/>
      <c r="AF47" s="1065"/>
      <c r="AG47" s="1065"/>
      <c r="AH47" s="1065"/>
      <c r="AI47" s="1065"/>
      <c r="AJ47" s="1065"/>
      <c r="AK47" s="1065"/>
      <c r="AL47" s="1065"/>
      <c r="AM47" s="1065"/>
      <c r="AN47" s="1065"/>
      <c r="AO47" s="1065"/>
      <c r="IN47" s="1023"/>
      <c r="IO47" s="1023"/>
      <c r="IP47" s="1023"/>
      <c r="IQ47" s="1023"/>
      <c r="IR47" s="1023"/>
      <c r="IS47" s="1023"/>
      <c r="IT47" s="1023"/>
      <c r="IU47" s="1023"/>
      <c r="IV47" s="1023"/>
    </row>
    <row r="48" spans="1:256" s="1059" customFormat="1" ht="12.75" customHeight="1">
      <c r="A48" s="1067" t="s">
        <v>171</v>
      </c>
      <c r="B48" s="1060" t="s">
        <v>170</v>
      </c>
      <c r="C48" s="1056" t="s">
        <v>159</v>
      </c>
      <c r="D48" s="1065">
        <f>IF('Saisie '!C44="","",'Saisie '!C44)</f>
      </c>
      <c r="E48" s="1065"/>
      <c r="F48" s="1065"/>
      <c r="G48" s="1065"/>
      <c r="H48" s="1065"/>
      <c r="I48" s="1065"/>
      <c r="J48" s="1065"/>
      <c r="K48" s="1065"/>
      <c r="L48" s="1065"/>
      <c r="M48" s="1065"/>
      <c r="N48" s="1065"/>
      <c r="O48" s="1065"/>
      <c r="P48" s="1065"/>
      <c r="Q48" s="1065"/>
      <c r="R48" s="1065"/>
      <c r="S48" s="1065"/>
      <c r="T48" s="1065"/>
      <c r="U48" s="1065"/>
      <c r="V48" s="1065"/>
      <c r="W48" s="1065"/>
      <c r="X48" s="1065"/>
      <c r="Y48" s="1065"/>
      <c r="Z48" s="1065"/>
      <c r="AA48" s="1065"/>
      <c r="AB48" s="1065"/>
      <c r="AC48" s="1065"/>
      <c r="AD48" s="1065"/>
      <c r="AE48" s="1065"/>
      <c r="AF48" s="1065"/>
      <c r="AG48" s="1065"/>
      <c r="AH48" s="1065"/>
      <c r="AI48" s="1065"/>
      <c r="AJ48" s="1065"/>
      <c r="AK48" s="1065"/>
      <c r="AL48" s="1065"/>
      <c r="AM48" s="1065"/>
      <c r="AN48" s="1065"/>
      <c r="AO48" s="1065"/>
      <c r="IN48" s="1023"/>
      <c r="IO48" s="1023"/>
      <c r="IP48" s="1023"/>
      <c r="IQ48" s="1023"/>
      <c r="IR48" s="1023"/>
      <c r="IS48" s="1023"/>
      <c r="IT48" s="1023"/>
      <c r="IU48" s="1023"/>
      <c r="IV48" s="1023"/>
    </row>
    <row r="49" spans="1:256" s="1059" customFormat="1" ht="12.75" customHeight="1">
      <c r="A49" s="1055" t="s">
        <v>173</v>
      </c>
      <c r="B49" s="1060" t="s">
        <v>172</v>
      </c>
      <c r="C49" s="1056" t="s">
        <v>159</v>
      </c>
      <c r="D49" s="1065">
        <f>IF('Saisie '!C45="","",'Saisie '!C45)</f>
      </c>
      <c r="E49" s="1065"/>
      <c r="F49" s="1065"/>
      <c r="G49" s="1065"/>
      <c r="H49" s="1065"/>
      <c r="I49" s="1065"/>
      <c r="J49" s="1065"/>
      <c r="K49" s="1065"/>
      <c r="L49" s="1065"/>
      <c r="M49" s="1065"/>
      <c r="N49" s="1065"/>
      <c r="O49" s="1065"/>
      <c r="P49" s="1065"/>
      <c r="Q49" s="1065"/>
      <c r="R49" s="1065"/>
      <c r="S49" s="1065"/>
      <c r="T49" s="1065"/>
      <c r="U49" s="1065"/>
      <c r="V49" s="1065"/>
      <c r="W49" s="1065"/>
      <c r="X49" s="1065"/>
      <c r="Y49" s="1065"/>
      <c r="Z49" s="1065"/>
      <c r="AA49" s="1065"/>
      <c r="AB49" s="1065"/>
      <c r="AC49" s="1065"/>
      <c r="AD49" s="1065"/>
      <c r="AE49" s="1065"/>
      <c r="AF49" s="1065"/>
      <c r="AG49" s="1065"/>
      <c r="AH49" s="1065"/>
      <c r="AI49" s="1065"/>
      <c r="AJ49" s="1065"/>
      <c r="AK49" s="1065"/>
      <c r="AL49" s="1065"/>
      <c r="AM49" s="1065"/>
      <c r="AN49" s="1065"/>
      <c r="AO49" s="1065"/>
      <c r="IN49" s="1023"/>
      <c r="IO49" s="1023"/>
      <c r="IP49" s="1023"/>
      <c r="IQ49" s="1023"/>
      <c r="IR49" s="1023"/>
      <c r="IS49" s="1023"/>
      <c r="IT49" s="1023"/>
      <c r="IU49" s="1023"/>
      <c r="IV49" s="1023"/>
    </row>
    <row r="50" spans="1:256" s="1059" customFormat="1" ht="12.75" customHeight="1">
      <c r="A50" s="1055" t="s">
        <v>175</v>
      </c>
      <c r="B50" s="1060" t="s">
        <v>174</v>
      </c>
      <c r="C50" s="1056" t="s">
        <v>159</v>
      </c>
      <c r="D50" s="1065">
        <f>IF('Saisie '!C46="","",'Saisie '!C46)</f>
      </c>
      <c r="E50" s="1065"/>
      <c r="F50" s="1065"/>
      <c r="G50" s="1065"/>
      <c r="H50" s="1065"/>
      <c r="I50" s="1065"/>
      <c r="J50" s="1065"/>
      <c r="K50" s="1065"/>
      <c r="L50" s="1065"/>
      <c r="M50" s="1065"/>
      <c r="N50" s="1065"/>
      <c r="O50" s="1065"/>
      <c r="P50" s="1065"/>
      <c r="Q50" s="1065"/>
      <c r="R50" s="1065"/>
      <c r="S50" s="1065"/>
      <c r="T50" s="1065"/>
      <c r="U50" s="1065"/>
      <c r="V50" s="1065"/>
      <c r="W50" s="1065"/>
      <c r="X50" s="1065"/>
      <c r="Y50" s="1065"/>
      <c r="Z50" s="1065"/>
      <c r="AA50" s="1065"/>
      <c r="AB50" s="1065"/>
      <c r="AC50" s="1065"/>
      <c r="AD50" s="1065"/>
      <c r="AE50" s="1065"/>
      <c r="AF50" s="1065"/>
      <c r="AG50" s="1065"/>
      <c r="AH50" s="1065"/>
      <c r="AI50" s="1065"/>
      <c r="AJ50" s="1065"/>
      <c r="AK50" s="1065"/>
      <c r="AL50" s="1065"/>
      <c r="AM50" s="1065"/>
      <c r="AN50" s="1065"/>
      <c r="AO50" s="1065"/>
      <c r="IN50" s="1023"/>
      <c r="IO50" s="1023"/>
      <c r="IP50" s="1023"/>
      <c r="IQ50" s="1023"/>
      <c r="IR50" s="1023"/>
      <c r="IS50" s="1023"/>
      <c r="IT50" s="1023"/>
      <c r="IU50" s="1023"/>
      <c r="IV50" s="1023"/>
    </row>
    <row r="51" spans="1:256" s="1059" customFormat="1" ht="12.75" customHeight="1">
      <c r="A51" s="1055" t="s">
        <v>177</v>
      </c>
      <c r="B51" s="1060" t="s">
        <v>176</v>
      </c>
      <c r="C51" s="1056" t="s">
        <v>159</v>
      </c>
      <c r="D51" s="1065">
        <f>IF('Saisie '!C47="","",'Saisie '!C47)</f>
      </c>
      <c r="E51" s="1065"/>
      <c r="F51" s="1065"/>
      <c r="G51" s="1065"/>
      <c r="H51" s="1065"/>
      <c r="I51" s="1065"/>
      <c r="J51" s="1065"/>
      <c r="K51" s="1065"/>
      <c r="L51" s="1065"/>
      <c r="M51" s="1065"/>
      <c r="N51" s="1065"/>
      <c r="O51" s="1065"/>
      <c r="P51" s="1065"/>
      <c r="Q51" s="1065"/>
      <c r="R51" s="1065"/>
      <c r="S51" s="1065"/>
      <c r="T51" s="1065"/>
      <c r="U51" s="1065"/>
      <c r="V51" s="1065"/>
      <c r="W51" s="1065"/>
      <c r="X51" s="1065"/>
      <c r="Y51" s="1065"/>
      <c r="Z51" s="1065"/>
      <c r="AA51" s="1065"/>
      <c r="AB51" s="1065"/>
      <c r="AC51" s="1065"/>
      <c r="AD51" s="1065"/>
      <c r="AE51" s="1065"/>
      <c r="AF51" s="1065"/>
      <c r="AG51" s="1065"/>
      <c r="AH51" s="1065"/>
      <c r="AI51" s="1065"/>
      <c r="AJ51" s="1065"/>
      <c r="AK51" s="1065"/>
      <c r="AL51" s="1065"/>
      <c r="AM51" s="1065"/>
      <c r="AN51" s="1065"/>
      <c r="AO51" s="1065"/>
      <c r="IN51" s="1023"/>
      <c r="IO51" s="1023"/>
      <c r="IP51" s="1023"/>
      <c r="IQ51" s="1023"/>
      <c r="IR51" s="1023"/>
      <c r="IS51" s="1023"/>
      <c r="IT51" s="1023"/>
      <c r="IU51" s="1023"/>
      <c r="IV51" s="1023"/>
    </row>
    <row r="52" spans="1:256" s="1059" customFormat="1" ht="12.75" customHeight="1">
      <c r="A52" s="1055" t="s">
        <v>179</v>
      </c>
      <c r="B52" s="1068" t="s">
        <v>178</v>
      </c>
      <c r="C52" s="1056"/>
      <c r="D52" s="1065">
        <f>IF('Saisie '!C48="","",'Saisie '!C48)</f>
      </c>
      <c r="E52" s="1065"/>
      <c r="F52" s="1065"/>
      <c r="G52" s="1065"/>
      <c r="H52" s="1065"/>
      <c r="I52" s="1065"/>
      <c r="J52" s="1065"/>
      <c r="K52" s="1065"/>
      <c r="L52" s="1065"/>
      <c r="M52" s="1065"/>
      <c r="N52" s="1065"/>
      <c r="O52" s="1065"/>
      <c r="P52" s="1065"/>
      <c r="Q52" s="1065"/>
      <c r="R52" s="1065"/>
      <c r="S52" s="1065"/>
      <c r="T52" s="1065"/>
      <c r="U52" s="1065"/>
      <c r="V52" s="1065"/>
      <c r="W52" s="1065"/>
      <c r="X52" s="1065"/>
      <c r="Y52" s="1065"/>
      <c r="Z52" s="1065"/>
      <c r="AA52" s="1065"/>
      <c r="AB52" s="1065"/>
      <c r="AC52" s="1065"/>
      <c r="AD52" s="1065"/>
      <c r="AE52" s="1065"/>
      <c r="AF52" s="1065"/>
      <c r="AG52" s="1065"/>
      <c r="AH52" s="1065"/>
      <c r="AI52" s="1065"/>
      <c r="AJ52" s="1065"/>
      <c r="AK52" s="1065"/>
      <c r="AL52" s="1065"/>
      <c r="AM52" s="1065"/>
      <c r="AN52" s="1065"/>
      <c r="AO52" s="1065"/>
      <c r="IN52" s="1023"/>
      <c r="IO52" s="1023"/>
      <c r="IP52" s="1023"/>
      <c r="IQ52" s="1023"/>
      <c r="IR52" s="1023"/>
      <c r="IS52" s="1023"/>
      <c r="IT52" s="1023"/>
      <c r="IU52" s="1023"/>
      <c r="IV52" s="1023"/>
    </row>
    <row r="53" spans="1:256" s="1059" customFormat="1" ht="12.75" customHeight="1">
      <c r="A53" s="1055" t="s">
        <v>183</v>
      </c>
      <c r="B53" s="1068" t="s">
        <v>182</v>
      </c>
      <c r="C53" s="1056" t="s">
        <v>159</v>
      </c>
      <c r="D53" s="1065">
        <f>IF('Saisie '!C49="","",'Saisie '!C49)</f>
      </c>
      <c r="E53" s="1065"/>
      <c r="F53" s="1065"/>
      <c r="G53" s="1065"/>
      <c r="H53" s="1065"/>
      <c r="I53" s="1065"/>
      <c r="J53" s="1065"/>
      <c r="K53" s="1065"/>
      <c r="L53" s="1065"/>
      <c r="M53" s="1065"/>
      <c r="N53" s="1065"/>
      <c r="O53" s="1065"/>
      <c r="P53" s="1065"/>
      <c r="Q53" s="1065"/>
      <c r="R53" s="1065"/>
      <c r="S53" s="1065"/>
      <c r="T53" s="1065"/>
      <c r="U53" s="1065"/>
      <c r="V53" s="1065"/>
      <c r="W53" s="1065"/>
      <c r="X53" s="1065"/>
      <c r="Y53" s="1065"/>
      <c r="Z53" s="1065"/>
      <c r="AA53" s="1065"/>
      <c r="AB53" s="1065"/>
      <c r="AC53" s="1065"/>
      <c r="AD53" s="1065"/>
      <c r="AE53" s="1065"/>
      <c r="AF53" s="1065"/>
      <c r="AG53" s="1065"/>
      <c r="AH53" s="1065"/>
      <c r="AI53" s="1065"/>
      <c r="AJ53" s="1065"/>
      <c r="AK53" s="1065"/>
      <c r="AL53" s="1065"/>
      <c r="AM53" s="1065"/>
      <c r="AN53" s="1065"/>
      <c r="AO53" s="1065"/>
      <c r="IN53" s="1023"/>
      <c r="IO53" s="1023"/>
      <c r="IP53" s="1023"/>
      <c r="IQ53" s="1023"/>
      <c r="IR53" s="1023"/>
      <c r="IS53" s="1023"/>
      <c r="IT53" s="1023"/>
      <c r="IU53" s="1023"/>
      <c r="IV53" s="1023"/>
    </row>
    <row r="54" spans="1:256" s="1059" customFormat="1" ht="12.75" customHeight="1">
      <c r="A54" s="1055" t="s">
        <v>186</v>
      </c>
      <c r="B54" s="1068" t="s">
        <v>185</v>
      </c>
      <c r="C54" s="1023"/>
      <c r="D54" s="1065">
        <f>IF('Saisie '!C50="","",'Saisie '!C50)</f>
      </c>
      <c r="E54" s="1065"/>
      <c r="F54" s="1065"/>
      <c r="G54" s="1065"/>
      <c r="H54" s="1065"/>
      <c r="I54" s="1065"/>
      <c r="J54" s="1065"/>
      <c r="K54" s="1065"/>
      <c r="L54" s="1065"/>
      <c r="M54" s="1065"/>
      <c r="N54" s="1065"/>
      <c r="O54" s="1065"/>
      <c r="P54" s="1065"/>
      <c r="Q54" s="1065"/>
      <c r="R54" s="1065"/>
      <c r="S54" s="1065"/>
      <c r="T54" s="1065"/>
      <c r="U54" s="1065"/>
      <c r="V54" s="1065"/>
      <c r="W54" s="1065"/>
      <c r="X54" s="1065"/>
      <c r="Y54" s="1065"/>
      <c r="Z54" s="1065"/>
      <c r="AA54" s="1065"/>
      <c r="AB54" s="1065"/>
      <c r="AC54" s="1065"/>
      <c r="AD54" s="1065"/>
      <c r="AE54" s="1065"/>
      <c r="AF54" s="1065"/>
      <c r="AG54" s="1065"/>
      <c r="AH54" s="1065"/>
      <c r="AI54" s="1065"/>
      <c r="AJ54" s="1065"/>
      <c r="AK54" s="1065"/>
      <c r="AL54" s="1065"/>
      <c r="AM54" s="1065"/>
      <c r="AN54" s="1065"/>
      <c r="AO54" s="1065"/>
      <c r="IN54" s="1023"/>
      <c r="IO54" s="1023"/>
      <c r="IP54" s="1023"/>
      <c r="IQ54" s="1023"/>
      <c r="IR54" s="1023"/>
      <c r="IS54" s="1023"/>
      <c r="IT54" s="1023"/>
      <c r="IU54" s="1023"/>
      <c r="IV54" s="1023"/>
    </row>
    <row r="55" spans="1:256" s="1059" customFormat="1" ht="12.75" customHeight="1">
      <c r="A55" s="1055" t="s">
        <v>189</v>
      </c>
      <c r="B55" s="1068" t="s">
        <v>188</v>
      </c>
      <c r="C55" s="1056" t="s">
        <v>159</v>
      </c>
      <c r="D55" s="1065">
        <f>IF('Saisie '!C51="","",'Saisie '!C51)</f>
      </c>
      <c r="E55" s="1065"/>
      <c r="F55" s="1065"/>
      <c r="G55" s="1065"/>
      <c r="H55" s="1065"/>
      <c r="I55" s="1065"/>
      <c r="J55" s="1065"/>
      <c r="K55" s="1065"/>
      <c r="L55" s="1065"/>
      <c r="M55" s="1065"/>
      <c r="N55" s="1065"/>
      <c r="O55" s="1065"/>
      <c r="P55" s="1065"/>
      <c r="Q55" s="1065"/>
      <c r="R55" s="1065"/>
      <c r="S55" s="1065"/>
      <c r="T55" s="1065"/>
      <c r="U55" s="1065"/>
      <c r="V55" s="1065"/>
      <c r="W55" s="1065"/>
      <c r="X55" s="1065"/>
      <c r="Y55" s="1065"/>
      <c r="Z55" s="1065"/>
      <c r="AA55" s="1065"/>
      <c r="AB55" s="1065"/>
      <c r="AC55" s="1065"/>
      <c r="AD55" s="1065"/>
      <c r="AE55" s="1065"/>
      <c r="AF55" s="1065"/>
      <c r="AG55" s="1065"/>
      <c r="AH55" s="1065"/>
      <c r="AI55" s="1065"/>
      <c r="AJ55" s="1065"/>
      <c r="AK55" s="1065"/>
      <c r="AL55" s="1065"/>
      <c r="AM55" s="1065"/>
      <c r="AN55" s="1065"/>
      <c r="AO55" s="1065"/>
      <c r="IN55" s="1023"/>
      <c r="IO55" s="1023"/>
      <c r="IP55" s="1023"/>
      <c r="IQ55" s="1023"/>
      <c r="IR55" s="1023"/>
      <c r="IS55" s="1023"/>
      <c r="IT55" s="1023"/>
      <c r="IU55" s="1023"/>
      <c r="IV55" s="1023"/>
    </row>
    <row r="56" spans="1:256" s="1059" customFormat="1" ht="12.75" customHeight="1">
      <c r="A56" s="1055" t="s">
        <v>191</v>
      </c>
      <c r="B56" s="1068" t="s">
        <v>190</v>
      </c>
      <c r="C56" s="1056" t="s">
        <v>159</v>
      </c>
      <c r="D56" s="1065">
        <f>IF('Saisie '!C52="","",'Saisie '!C52)</f>
      </c>
      <c r="E56" s="1065"/>
      <c r="F56" s="1065"/>
      <c r="G56" s="1065"/>
      <c r="H56" s="1065"/>
      <c r="I56" s="1065"/>
      <c r="J56" s="1065"/>
      <c r="K56" s="1065"/>
      <c r="L56" s="1065"/>
      <c r="M56" s="1065"/>
      <c r="N56" s="1065"/>
      <c r="O56" s="1065"/>
      <c r="P56" s="1065"/>
      <c r="Q56" s="1065"/>
      <c r="R56" s="1065"/>
      <c r="S56" s="1065"/>
      <c r="T56" s="1065"/>
      <c r="U56" s="1065"/>
      <c r="V56" s="1065"/>
      <c r="W56" s="1065"/>
      <c r="X56" s="1065"/>
      <c r="Y56" s="1065"/>
      <c r="Z56" s="1065"/>
      <c r="AA56" s="1065"/>
      <c r="AB56" s="1065"/>
      <c r="AC56" s="1065"/>
      <c r="AD56" s="1065"/>
      <c r="AE56" s="1065"/>
      <c r="AF56" s="1065"/>
      <c r="AG56" s="1065"/>
      <c r="AH56" s="1065"/>
      <c r="AI56" s="1065"/>
      <c r="AJ56" s="1065"/>
      <c r="AK56" s="1065"/>
      <c r="AL56" s="1065"/>
      <c r="AM56" s="1065"/>
      <c r="AN56" s="1065"/>
      <c r="AO56" s="1065"/>
      <c r="IN56" s="1023"/>
      <c r="IO56" s="1023"/>
      <c r="IP56" s="1023"/>
      <c r="IQ56" s="1023"/>
      <c r="IR56" s="1023"/>
      <c r="IS56" s="1023"/>
      <c r="IT56" s="1023"/>
      <c r="IU56" s="1023"/>
      <c r="IV56" s="1023"/>
    </row>
    <row r="57" spans="1:256" s="1059" customFormat="1" ht="12.75" customHeight="1">
      <c r="A57" s="1055" t="s">
        <v>193</v>
      </c>
      <c r="B57" s="1068" t="s">
        <v>192</v>
      </c>
      <c r="C57" s="1056" t="s">
        <v>159</v>
      </c>
      <c r="D57" s="1065">
        <f>IF('Saisie '!C53="","",'Saisie '!C53)</f>
      </c>
      <c r="E57" s="1065"/>
      <c r="F57" s="1065"/>
      <c r="G57" s="1065"/>
      <c r="H57" s="1065"/>
      <c r="I57" s="1065"/>
      <c r="J57" s="1065"/>
      <c r="K57" s="1065"/>
      <c r="L57" s="1065"/>
      <c r="M57" s="1065"/>
      <c r="N57" s="1065"/>
      <c r="O57" s="1065"/>
      <c r="P57" s="1065"/>
      <c r="Q57" s="1065"/>
      <c r="R57" s="1065"/>
      <c r="S57" s="1065"/>
      <c r="T57" s="1065"/>
      <c r="U57" s="1065"/>
      <c r="V57" s="1065"/>
      <c r="W57" s="1065"/>
      <c r="X57" s="1065"/>
      <c r="Y57" s="1065"/>
      <c r="Z57" s="1065"/>
      <c r="AA57" s="1065"/>
      <c r="AB57" s="1065"/>
      <c r="AC57" s="1065"/>
      <c r="AD57" s="1065"/>
      <c r="AE57" s="1065"/>
      <c r="AF57" s="1065"/>
      <c r="AG57" s="1065"/>
      <c r="AH57" s="1065"/>
      <c r="AI57" s="1065"/>
      <c r="AJ57" s="1065"/>
      <c r="AK57" s="1065"/>
      <c r="AL57" s="1065"/>
      <c r="AM57" s="1065"/>
      <c r="AN57" s="1065"/>
      <c r="AO57" s="1065"/>
      <c r="IN57" s="1023"/>
      <c r="IO57" s="1023"/>
      <c r="IP57" s="1023"/>
      <c r="IQ57" s="1023"/>
      <c r="IR57" s="1023"/>
      <c r="IS57" s="1023"/>
      <c r="IT57" s="1023"/>
      <c r="IU57" s="1023"/>
      <c r="IV57" s="1023"/>
    </row>
    <row r="58" spans="1:256" s="1059" customFormat="1" ht="12.75" customHeight="1">
      <c r="A58" s="1055" t="s">
        <v>197</v>
      </c>
      <c r="B58" s="1068" t="s">
        <v>196</v>
      </c>
      <c r="C58" s="1056" t="s">
        <v>159</v>
      </c>
      <c r="D58" s="1065">
        <f>IF('Saisie '!C54="","",'Saisie '!C54)</f>
      </c>
      <c r="E58" s="1065"/>
      <c r="F58" s="1065"/>
      <c r="G58" s="1065"/>
      <c r="H58" s="1065"/>
      <c r="I58" s="1065"/>
      <c r="J58" s="1065"/>
      <c r="K58" s="1065"/>
      <c r="L58" s="1065"/>
      <c r="M58" s="1065"/>
      <c r="N58" s="1065"/>
      <c r="O58" s="1065"/>
      <c r="P58" s="1065"/>
      <c r="Q58" s="1065"/>
      <c r="R58" s="1065"/>
      <c r="S58" s="1065"/>
      <c r="T58" s="1065"/>
      <c r="U58" s="1065"/>
      <c r="V58" s="1065"/>
      <c r="W58" s="1065"/>
      <c r="X58" s="1065"/>
      <c r="Y58" s="1065"/>
      <c r="Z58" s="1065"/>
      <c r="AA58" s="1065"/>
      <c r="AB58" s="1065"/>
      <c r="AC58" s="1065"/>
      <c r="AD58" s="1065"/>
      <c r="AE58" s="1065"/>
      <c r="AF58" s="1065"/>
      <c r="AG58" s="1065"/>
      <c r="AH58" s="1065"/>
      <c r="AI58" s="1065"/>
      <c r="AJ58" s="1065"/>
      <c r="AK58" s="1065"/>
      <c r="AL58" s="1065"/>
      <c r="AM58" s="1065"/>
      <c r="AN58" s="1065"/>
      <c r="AO58" s="1065"/>
      <c r="IN58" s="1023"/>
      <c r="IO58" s="1023"/>
      <c r="IP58" s="1023"/>
      <c r="IQ58" s="1023"/>
      <c r="IR58" s="1023"/>
      <c r="IS58" s="1023"/>
      <c r="IT58" s="1023"/>
      <c r="IU58" s="1023"/>
      <c r="IV58" s="1023"/>
    </row>
    <row r="59" spans="1:256" s="1059" customFormat="1" ht="12.75" customHeight="1">
      <c r="A59" s="1055" t="s">
        <v>200</v>
      </c>
      <c r="B59" s="1068" t="s">
        <v>199</v>
      </c>
      <c r="C59" s="1056" t="s">
        <v>159</v>
      </c>
      <c r="D59" s="1065">
        <f>IF('Saisie '!C55="","",'Saisie '!C55)</f>
      </c>
      <c r="E59" s="1065"/>
      <c r="F59" s="1065"/>
      <c r="G59" s="1065"/>
      <c r="H59" s="1065"/>
      <c r="I59" s="1065"/>
      <c r="J59" s="1065"/>
      <c r="K59" s="1065"/>
      <c r="L59" s="1065"/>
      <c r="M59" s="1065"/>
      <c r="N59" s="1065"/>
      <c r="O59" s="1065"/>
      <c r="P59" s="1065"/>
      <c r="Q59" s="1065"/>
      <c r="R59" s="1065"/>
      <c r="S59" s="1065"/>
      <c r="T59" s="1065"/>
      <c r="U59" s="1065"/>
      <c r="V59" s="1065"/>
      <c r="W59" s="1065"/>
      <c r="X59" s="1065"/>
      <c r="Y59" s="1065"/>
      <c r="Z59" s="1065"/>
      <c r="AA59" s="1065"/>
      <c r="AB59" s="1065"/>
      <c r="AC59" s="1065"/>
      <c r="AD59" s="1065"/>
      <c r="AE59" s="1065"/>
      <c r="AF59" s="1065"/>
      <c r="AG59" s="1065"/>
      <c r="AH59" s="1065"/>
      <c r="AI59" s="1065"/>
      <c r="AJ59" s="1065"/>
      <c r="AK59" s="1065"/>
      <c r="AL59" s="1065"/>
      <c r="AM59" s="1065"/>
      <c r="AN59" s="1065"/>
      <c r="AO59" s="1065"/>
      <c r="IN59" s="1023"/>
      <c r="IO59" s="1023"/>
      <c r="IP59" s="1023"/>
      <c r="IQ59" s="1023"/>
      <c r="IR59" s="1023"/>
      <c r="IS59" s="1023"/>
      <c r="IT59" s="1023"/>
      <c r="IU59" s="1023"/>
      <c r="IV59" s="1023"/>
    </row>
    <row r="60" spans="1:256" s="1059" customFormat="1" ht="12.75" customHeight="1">
      <c r="A60" s="1055" t="s">
        <v>202</v>
      </c>
      <c r="B60" s="1068" t="s">
        <v>782</v>
      </c>
      <c r="C60" s="1056" t="s">
        <v>159</v>
      </c>
      <c r="D60" s="1065">
        <f>IF('Saisie '!C56="","",'Saisie '!C56)</f>
      </c>
      <c r="E60" s="1065"/>
      <c r="F60" s="1065"/>
      <c r="G60" s="1065"/>
      <c r="H60" s="1065"/>
      <c r="I60" s="1065"/>
      <c r="J60" s="1065"/>
      <c r="K60" s="1065"/>
      <c r="L60" s="1065"/>
      <c r="M60" s="1065"/>
      <c r="N60" s="1065"/>
      <c r="O60" s="1065"/>
      <c r="P60" s="1065"/>
      <c r="Q60" s="1065"/>
      <c r="R60" s="1065"/>
      <c r="S60" s="1065"/>
      <c r="T60" s="1065"/>
      <c r="U60" s="1065"/>
      <c r="V60" s="1065"/>
      <c r="W60" s="1065"/>
      <c r="X60" s="1065"/>
      <c r="Y60" s="1065"/>
      <c r="Z60" s="1065"/>
      <c r="AA60" s="1065"/>
      <c r="AB60" s="1065"/>
      <c r="AC60" s="1065"/>
      <c r="AD60" s="1065"/>
      <c r="AE60" s="1065"/>
      <c r="AF60" s="1065"/>
      <c r="AG60" s="1065"/>
      <c r="AH60" s="1065"/>
      <c r="AI60" s="1065"/>
      <c r="AJ60" s="1065"/>
      <c r="AK60" s="1065"/>
      <c r="AL60" s="1065"/>
      <c r="AM60" s="1065"/>
      <c r="AN60" s="1065"/>
      <c r="AO60" s="1065"/>
      <c r="IN60" s="1023"/>
      <c r="IO60" s="1023"/>
      <c r="IP60" s="1023"/>
      <c r="IQ60" s="1023"/>
      <c r="IR60" s="1023"/>
      <c r="IS60" s="1023"/>
      <c r="IT60" s="1023"/>
      <c r="IU60" s="1023"/>
      <c r="IV60" s="1023"/>
    </row>
    <row r="61" spans="1:256" s="1059" customFormat="1" ht="12.75" customHeight="1">
      <c r="A61" s="1055" t="s">
        <v>205</v>
      </c>
      <c r="B61" s="1068" t="s">
        <v>204</v>
      </c>
      <c r="C61" s="1056" t="s">
        <v>159</v>
      </c>
      <c r="D61" s="1065">
        <f>IF('Saisie '!C57="","",'Saisie '!C57)</f>
      </c>
      <c r="E61" s="1065"/>
      <c r="F61" s="1065"/>
      <c r="G61" s="1065"/>
      <c r="H61" s="1065"/>
      <c r="I61" s="1065"/>
      <c r="J61" s="1065"/>
      <c r="K61" s="1065"/>
      <c r="L61" s="1065"/>
      <c r="M61" s="1065"/>
      <c r="N61" s="1065"/>
      <c r="O61" s="1065"/>
      <c r="P61" s="1065"/>
      <c r="Q61" s="1065"/>
      <c r="R61" s="1065"/>
      <c r="S61" s="1065"/>
      <c r="T61" s="1065"/>
      <c r="U61" s="1065"/>
      <c r="V61" s="1065"/>
      <c r="W61" s="1065"/>
      <c r="X61" s="1065"/>
      <c r="Y61" s="1065"/>
      <c r="Z61" s="1065"/>
      <c r="AA61" s="1065"/>
      <c r="AB61" s="1065"/>
      <c r="AC61" s="1065"/>
      <c r="AD61" s="1065"/>
      <c r="AE61" s="1065"/>
      <c r="AF61" s="1065"/>
      <c r="AG61" s="1065"/>
      <c r="AH61" s="1065"/>
      <c r="AI61" s="1065"/>
      <c r="AJ61" s="1065"/>
      <c r="AK61" s="1065"/>
      <c r="AL61" s="1065"/>
      <c r="AM61" s="1065"/>
      <c r="AN61" s="1065"/>
      <c r="AO61" s="1065"/>
      <c r="IN61" s="1023"/>
      <c r="IO61" s="1023"/>
      <c r="IP61" s="1023"/>
      <c r="IQ61" s="1023"/>
      <c r="IR61" s="1023"/>
      <c r="IS61" s="1023"/>
      <c r="IT61" s="1023"/>
      <c r="IU61" s="1023"/>
      <c r="IV61" s="1023"/>
    </row>
    <row r="62" spans="1:256" s="1059" customFormat="1" ht="12.75" customHeight="1">
      <c r="A62" s="1055" t="s">
        <v>207</v>
      </c>
      <c r="B62" s="1068" t="s">
        <v>206</v>
      </c>
      <c r="C62" s="1056" t="s">
        <v>159</v>
      </c>
      <c r="D62" s="1065">
        <f>IF('Saisie '!C58="","",'Saisie '!C58)</f>
      </c>
      <c r="E62" s="1065"/>
      <c r="F62" s="1065"/>
      <c r="G62" s="1065"/>
      <c r="H62" s="1065"/>
      <c r="I62" s="1065"/>
      <c r="J62" s="1065"/>
      <c r="K62" s="1065"/>
      <c r="L62" s="1065"/>
      <c r="M62" s="1065"/>
      <c r="N62" s="1065"/>
      <c r="O62" s="1065"/>
      <c r="P62" s="1065"/>
      <c r="Q62" s="1065"/>
      <c r="R62" s="1065"/>
      <c r="S62" s="1065"/>
      <c r="T62" s="1065"/>
      <c r="U62" s="1065"/>
      <c r="V62" s="1065"/>
      <c r="W62" s="1065"/>
      <c r="X62" s="1065"/>
      <c r="Y62" s="1065"/>
      <c r="Z62" s="1065"/>
      <c r="AA62" s="1065"/>
      <c r="AB62" s="1065"/>
      <c r="AC62" s="1065"/>
      <c r="AD62" s="1065"/>
      <c r="AE62" s="1065"/>
      <c r="AF62" s="1065"/>
      <c r="AG62" s="1065"/>
      <c r="AH62" s="1065"/>
      <c r="AI62" s="1065"/>
      <c r="AJ62" s="1065"/>
      <c r="AK62" s="1065"/>
      <c r="AL62" s="1065"/>
      <c r="AM62" s="1065"/>
      <c r="AN62" s="1065"/>
      <c r="AO62" s="1065"/>
      <c r="IN62" s="1023"/>
      <c r="IO62" s="1023"/>
      <c r="IP62" s="1023"/>
      <c r="IQ62" s="1023"/>
      <c r="IR62" s="1023"/>
      <c r="IS62" s="1023"/>
      <c r="IT62" s="1023"/>
      <c r="IU62" s="1023"/>
      <c r="IV62" s="1023"/>
    </row>
    <row r="63" spans="1:256" s="1059" customFormat="1" ht="12.75" customHeight="1">
      <c r="A63" s="1055" t="s">
        <v>209</v>
      </c>
      <c r="B63" s="1068" t="s">
        <v>209</v>
      </c>
      <c r="C63" s="1056" t="s">
        <v>159</v>
      </c>
      <c r="D63" s="1065">
        <f>IF('Saisie '!C59="","",'Saisie '!C59)</f>
      </c>
      <c r="E63" s="1065"/>
      <c r="F63" s="1065"/>
      <c r="G63" s="1065"/>
      <c r="H63" s="1065"/>
      <c r="I63" s="1065"/>
      <c r="J63" s="1065"/>
      <c r="K63" s="1065"/>
      <c r="L63" s="1065"/>
      <c r="M63" s="1065"/>
      <c r="N63" s="1065"/>
      <c r="O63" s="1065"/>
      <c r="P63" s="1065"/>
      <c r="Q63" s="1065"/>
      <c r="R63" s="1065"/>
      <c r="S63" s="1065"/>
      <c r="T63" s="1065"/>
      <c r="U63" s="1065"/>
      <c r="V63" s="1065"/>
      <c r="W63" s="1065"/>
      <c r="X63" s="1065"/>
      <c r="Y63" s="1065"/>
      <c r="Z63" s="1065"/>
      <c r="AA63" s="1065"/>
      <c r="AB63" s="1065"/>
      <c r="AC63" s="1065"/>
      <c r="AD63" s="1065"/>
      <c r="AE63" s="1065"/>
      <c r="AF63" s="1065"/>
      <c r="AG63" s="1065"/>
      <c r="AH63" s="1065"/>
      <c r="AI63" s="1065"/>
      <c r="AJ63" s="1065"/>
      <c r="AK63" s="1065"/>
      <c r="AL63" s="1065"/>
      <c r="AM63" s="1065"/>
      <c r="AN63" s="1065"/>
      <c r="AO63" s="1065"/>
      <c r="IN63" s="1023"/>
      <c r="IO63" s="1023"/>
      <c r="IP63" s="1023"/>
      <c r="IQ63" s="1023"/>
      <c r="IR63" s="1023"/>
      <c r="IS63" s="1023"/>
      <c r="IT63" s="1023"/>
      <c r="IU63" s="1023"/>
      <c r="IV63" s="1023"/>
    </row>
    <row r="64" spans="1:256" s="1059" customFormat="1" ht="12.75" customHeight="1">
      <c r="A64" s="1055" t="s">
        <v>211</v>
      </c>
      <c r="B64" s="1068" t="s">
        <v>783</v>
      </c>
      <c r="C64" s="1056" t="s">
        <v>159</v>
      </c>
      <c r="D64" s="1065">
        <f>IF('Saisie '!C60="","",'Saisie '!C60)</f>
      </c>
      <c r="E64" s="1065"/>
      <c r="F64" s="1065"/>
      <c r="G64" s="1065"/>
      <c r="H64" s="1065"/>
      <c r="I64" s="1065"/>
      <c r="J64" s="1065"/>
      <c r="K64" s="1065"/>
      <c r="L64" s="1065"/>
      <c r="M64" s="1065"/>
      <c r="N64" s="1065"/>
      <c r="O64" s="1065"/>
      <c r="P64" s="1065"/>
      <c r="Q64" s="1065"/>
      <c r="R64" s="1065"/>
      <c r="S64" s="1065"/>
      <c r="T64" s="1065"/>
      <c r="U64" s="1065"/>
      <c r="V64" s="1065"/>
      <c r="W64" s="1065"/>
      <c r="X64" s="1065"/>
      <c r="Y64" s="1065"/>
      <c r="Z64" s="1065"/>
      <c r="AA64" s="1065"/>
      <c r="AB64" s="1065"/>
      <c r="AC64" s="1065"/>
      <c r="AD64" s="1065"/>
      <c r="AE64" s="1065"/>
      <c r="AF64" s="1065"/>
      <c r="AG64" s="1065"/>
      <c r="AH64" s="1065"/>
      <c r="AI64" s="1065"/>
      <c r="AJ64" s="1065"/>
      <c r="AK64" s="1065"/>
      <c r="AL64" s="1065"/>
      <c r="AM64" s="1065"/>
      <c r="AN64" s="1065"/>
      <c r="AO64" s="1065"/>
      <c r="IN64" s="1023"/>
      <c r="IO64" s="1023"/>
      <c r="IP64" s="1023"/>
      <c r="IQ64" s="1023"/>
      <c r="IR64" s="1023"/>
      <c r="IS64" s="1023"/>
      <c r="IT64" s="1023"/>
      <c r="IU64" s="1023"/>
      <c r="IV64" s="1023"/>
    </row>
    <row r="65" spans="1:256" s="1059" customFormat="1" ht="12.75" customHeight="1">
      <c r="A65" s="1055" t="s">
        <v>213</v>
      </c>
      <c r="B65" s="1068" t="s">
        <v>212</v>
      </c>
      <c r="C65" s="1056" t="s">
        <v>159</v>
      </c>
      <c r="D65" s="1065">
        <f>IF('Saisie '!C61="","",'Saisie '!C61)</f>
      </c>
      <c r="E65" s="1065"/>
      <c r="F65" s="1065"/>
      <c r="G65" s="1065"/>
      <c r="H65" s="1065"/>
      <c r="I65" s="1065"/>
      <c r="J65" s="1065"/>
      <c r="K65" s="1065"/>
      <c r="L65" s="1065"/>
      <c r="M65" s="1065"/>
      <c r="N65" s="1065"/>
      <c r="O65" s="1065"/>
      <c r="P65" s="1065"/>
      <c r="Q65" s="1065"/>
      <c r="R65" s="1065"/>
      <c r="S65" s="1065"/>
      <c r="T65" s="1065"/>
      <c r="U65" s="1065"/>
      <c r="V65" s="1065"/>
      <c r="W65" s="1065"/>
      <c r="X65" s="1065"/>
      <c r="Y65" s="1065"/>
      <c r="Z65" s="1065"/>
      <c r="AA65" s="1065"/>
      <c r="AB65" s="1065"/>
      <c r="AC65" s="1065"/>
      <c r="AD65" s="1065"/>
      <c r="AE65" s="1065"/>
      <c r="AF65" s="1065"/>
      <c r="AG65" s="1065"/>
      <c r="AH65" s="1065"/>
      <c r="AI65" s="1065"/>
      <c r="AJ65" s="1065"/>
      <c r="AK65" s="1065"/>
      <c r="AL65" s="1065"/>
      <c r="AM65" s="1065"/>
      <c r="AN65" s="1065"/>
      <c r="AO65" s="1065"/>
      <c r="IN65" s="1023"/>
      <c r="IO65" s="1023"/>
      <c r="IP65" s="1023"/>
      <c r="IQ65" s="1023"/>
      <c r="IR65" s="1023"/>
      <c r="IS65" s="1023"/>
      <c r="IT65" s="1023"/>
      <c r="IU65" s="1023"/>
      <c r="IV65" s="1023"/>
    </row>
    <row r="66" spans="1:256" s="1059" customFormat="1" ht="12.75" customHeight="1">
      <c r="A66" s="1055" t="s">
        <v>216</v>
      </c>
      <c r="B66" s="1068" t="s">
        <v>215</v>
      </c>
      <c r="C66" s="1056" t="s">
        <v>159</v>
      </c>
      <c r="D66" s="1065">
        <f>IF('Saisie '!C62="","",'Saisie '!C62)</f>
      </c>
      <c r="E66" s="1065"/>
      <c r="F66" s="1065"/>
      <c r="G66" s="1065"/>
      <c r="H66" s="1065"/>
      <c r="I66" s="1065"/>
      <c r="J66" s="1065"/>
      <c r="K66" s="1065"/>
      <c r="L66" s="1065"/>
      <c r="M66" s="1065"/>
      <c r="N66" s="1065"/>
      <c r="O66" s="1065"/>
      <c r="P66" s="1065"/>
      <c r="Q66" s="1065"/>
      <c r="R66" s="1065"/>
      <c r="S66" s="1065"/>
      <c r="T66" s="1065"/>
      <c r="U66" s="1065"/>
      <c r="V66" s="1065"/>
      <c r="W66" s="1065"/>
      <c r="X66" s="1065"/>
      <c r="Y66" s="1065"/>
      <c r="Z66" s="1065"/>
      <c r="AA66" s="1065"/>
      <c r="AB66" s="1065"/>
      <c r="AC66" s="1065"/>
      <c r="AD66" s="1065"/>
      <c r="AE66" s="1065"/>
      <c r="AF66" s="1065"/>
      <c r="AG66" s="1065"/>
      <c r="AH66" s="1065"/>
      <c r="AI66" s="1065"/>
      <c r="AJ66" s="1065"/>
      <c r="AK66" s="1065"/>
      <c r="AL66" s="1065"/>
      <c r="AM66" s="1065"/>
      <c r="AN66" s="1065"/>
      <c r="AO66" s="1065"/>
      <c r="IN66" s="1023"/>
      <c r="IO66" s="1023"/>
      <c r="IP66" s="1023"/>
      <c r="IQ66" s="1023"/>
      <c r="IR66" s="1023"/>
      <c r="IS66" s="1023"/>
      <c r="IT66" s="1023"/>
      <c r="IU66" s="1023"/>
      <c r="IV66" s="1023"/>
    </row>
    <row r="67" spans="1:256" s="1059" customFormat="1" ht="12.75" customHeight="1">
      <c r="A67" s="1055" t="s">
        <v>751</v>
      </c>
      <c r="B67" s="1068" t="s">
        <v>750</v>
      </c>
      <c r="C67" s="1056" t="s">
        <v>159</v>
      </c>
      <c r="D67" s="1065">
        <f>IF('Saisie '!C63="","",'Saisie '!C63)</f>
      </c>
      <c r="E67" s="1065"/>
      <c r="F67" s="1065"/>
      <c r="G67" s="1065"/>
      <c r="H67" s="1065"/>
      <c r="I67" s="1065"/>
      <c r="J67" s="1065"/>
      <c r="K67" s="1065"/>
      <c r="L67" s="1065"/>
      <c r="M67" s="1065"/>
      <c r="N67" s="1065"/>
      <c r="O67" s="1065"/>
      <c r="P67" s="1065"/>
      <c r="Q67" s="1065"/>
      <c r="R67" s="1065"/>
      <c r="S67" s="1065"/>
      <c r="T67" s="1065"/>
      <c r="U67" s="1065"/>
      <c r="V67" s="1065"/>
      <c r="W67" s="1065"/>
      <c r="X67" s="1065"/>
      <c r="Y67" s="1065"/>
      <c r="Z67" s="1065"/>
      <c r="AA67" s="1065"/>
      <c r="AB67" s="1065"/>
      <c r="AC67" s="1065"/>
      <c r="AD67" s="1065"/>
      <c r="AE67" s="1065"/>
      <c r="AF67" s="1065"/>
      <c r="AG67" s="1065"/>
      <c r="AH67" s="1065"/>
      <c r="AI67" s="1065"/>
      <c r="AJ67" s="1065"/>
      <c r="AK67" s="1065"/>
      <c r="AL67" s="1065"/>
      <c r="AM67" s="1065"/>
      <c r="AN67" s="1065"/>
      <c r="AO67" s="1065"/>
      <c r="IN67" s="1023"/>
      <c r="IO67" s="1023"/>
      <c r="IP67" s="1023"/>
      <c r="IQ67" s="1023"/>
      <c r="IR67" s="1023"/>
      <c r="IS67" s="1023"/>
      <c r="IT67" s="1023"/>
      <c r="IU67" s="1023"/>
      <c r="IV67" s="1023"/>
    </row>
    <row r="68" spans="1:256" s="1059" customFormat="1" ht="12.75" customHeight="1">
      <c r="A68" s="1055" t="s">
        <v>219</v>
      </c>
      <c r="B68" s="1069" t="s">
        <v>218</v>
      </c>
      <c r="C68" s="1056"/>
      <c r="D68" s="1065">
        <f>IF('Saisie '!C64="","",'Saisie '!C64)</f>
      </c>
      <c r="E68" s="1065"/>
      <c r="F68" s="1065"/>
      <c r="G68" s="1065"/>
      <c r="H68" s="1065"/>
      <c r="I68" s="1065"/>
      <c r="J68" s="1065"/>
      <c r="K68" s="1065"/>
      <c r="L68" s="1065"/>
      <c r="M68" s="1065"/>
      <c r="N68" s="1065"/>
      <c r="O68" s="1065"/>
      <c r="P68" s="1065"/>
      <c r="Q68" s="1065"/>
      <c r="R68" s="1065"/>
      <c r="S68" s="1065"/>
      <c r="T68" s="1065"/>
      <c r="U68" s="1065"/>
      <c r="V68" s="1065"/>
      <c r="W68" s="1065"/>
      <c r="X68" s="1065"/>
      <c r="Y68" s="1065"/>
      <c r="Z68" s="1065"/>
      <c r="AA68" s="1065"/>
      <c r="AB68" s="1065"/>
      <c r="AC68" s="1065"/>
      <c r="AD68" s="1065"/>
      <c r="AE68" s="1065"/>
      <c r="AF68" s="1065"/>
      <c r="AG68" s="1065"/>
      <c r="AH68" s="1065"/>
      <c r="AI68" s="1065"/>
      <c r="AJ68" s="1065"/>
      <c r="AK68" s="1065"/>
      <c r="AL68" s="1065"/>
      <c r="AM68" s="1065"/>
      <c r="AN68" s="1065"/>
      <c r="AO68" s="1065"/>
      <c r="IN68" s="1023"/>
      <c r="IO68" s="1023"/>
      <c r="IP68" s="1023"/>
      <c r="IQ68" s="1023"/>
      <c r="IR68" s="1023"/>
      <c r="IS68" s="1023"/>
      <c r="IT68" s="1023"/>
      <c r="IU68" s="1023"/>
      <c r="IV68" s="1023"/>
    </row>
    <row r="69" spans="1:256" s="1059" customFormat="1" ht="12.75" customHeight="1">
      <c r="A69" s="1070" t="s">
        <v>221</v>
      </c>
      <c r="B69" s="1071" t="s">
        <v>220</v>
      </c>
      <c r="C69" s="1072"/>
      <c r="D69" s="1065">
        <f>IF('Saisie '!C65="","",'Saisie '!C65)</f>
      </c>
      <c r="E69" s="1065"/>
      <c r="F69" s="1065"/>
      <c r="G69" s="1065"/>
      <c r="H69" s="1065"/>
      <c r="I69" s="1065"/>
      <c r="J69" s="1065"/>
      <c r="K69" s="1065"/>
      <c r="L69" s="1065"/>
      <c r="M69" s="1065"/>
      <c r="N69" s="1065"/>
      <c r="O69" s="1065"/>
      <c r="P69" s="1065"/>
      <c r="Q69" s="1065"/>
      <c r="R69" s="1065"/>
      <c r="S69" s="1065"/>
      <c r="T69" s="1065"/>
      <c r="U69" s="1065"/>
      <c r="V69" s="1065"/>
      <c r="W69" s="1065"/>
      <c r="X69" s="1065"/>
      <c r="Y69" s="1065"/>
      <c r="Z69" s="1065"/>
      <c r="AA69" s="1065"/>
      <c r="AB69" s="1065"/>
      <c r="AC69" s="1065"/>
      <c r="AD69" s="1065"/>
      <c r="AE69" s="1065"/>
      <c r="AF69" s="1065"/>
      <c r="AG69" s="1065"/>
      <c r="AH69" s="1065"/>
      <c r="AI69" s="1065"/>
      <c r="AJ69" s="1065"/>
      <c r="AK69" s="1065"/>
      <c r="AL69" s="1065"/>
      <c r="AM69" s="1065"/>
      <c r="AN69" s="1065"/>
      <c r="AO69" s="1065"/>
      <c r="IN69" s="1023"/>
      <c r="IO69" s="1023"/>
      <c r="IP69" s="1023"/>
      <c r="IQ69" s="1023"/>
      <c r="IR69" s="1023"/>
      <c r="IS69" s="1023"/>
      <c r="IT69" s="1023"/>
      <c r="IU69" s="1023"/>
      <c r="IV69" s="1023"/>
    </row>
    <row r="70" spans="1:256" s="1059" customFormat="1" ht="12.75" customHeight="1">
      <c r="A70" s="1073" t="s">
        <v>225</v>
      </c>
      <c r="B70" s="1074" t="s">
        <v>224</v>
      </c>
      <c r="C70" s="1072"/>
      <c r="D70" s="1065">
        <f>IF('Saisie '!C66="","",'Saisie '!C66)</f>
      </c>
      <c r="E70" s="1065"/>
      <c r="F70" s="1065"/>
      <c r="G70" s="1065"/>
      <c r="H70" s="1065"/>
      <c r="I70" s="1065"/>
      <c r="J70" s="1065"/>
      <c r="K70" s="1065"/>
      <c r="L70" s="1065"/>
      <c r="M70" s="1065"/>
      <c r="N70" s="1065"/>
      <c r="O70" s="1065"/>
      <c r="P70" s="1065"/>
      <c r="Q70" s="1065"/>
      <c r="R70" s="1065"/>
      <c r="S70" s="1065"/>
      <c r="T70" s="1065"/>
      <c r="U70" s="1065"/>
      <c r="V70" s="1065"/>
      <c r="W70" s="1065"/>
      <c r="X70" s="1065"/>
      <c r="Y70" s="1065"/>
      <c r="Z70" s="1065"/>
      <c r="AA70" s="1065"/>
      <c r="AB70" s="1065"/>
      <c r="AC70" s="1065"/>
      <c r="AD70" s="1065"/>
      <c r="AE70" s="1065"/>
      <c r="AF70" s="1065"/>
      <c r="AG70" s="1065"/>
      <c r="AH70" s="1065"/>
      <c r="AI70" s="1065"/>
      <c r="AJ70" s="1065"/>
      <c r="AK70" s="1065"/>
      <c r="AL70" s="1065"/>
      <c r="AM70" s="1065"/>
      <c r="AN70" s="1065"/>
      <c r="AO70" s="1065"/>
      <c r="IN70" s="1023"/>
      <c r="IO70" s="1023"/>
      <c r="IP70" s="1023"/>
      <c r="IQ70" s="1023"/>
      <c r="IR70" s="1023"/>
      <c r="IS70" s="1023"/>
      <c r="IT70" s="1023"/>
      <c r="IU70" s="1023"/>
      <c r="IV70" s="1023"/>
    </row>
    <row r="71" spans="1:256" s="1059" customFormat="1" ht="12.75" customHeight="1">
      <c r="A71" s="1073" t="s">
        <v>227</v>
      </c>
      <c r="B71" s="1074" t="s">
        <v>226</v>
      </c>
      <c r="C71" s="1072"/>
      <c r="D71" s="1065">
        <f>IF('Saisie '!C67="","",'Saisie '!C67)</f>
      </c>
      <c r="E71" s="1065"/>
      <c r="F71" s="1065"/>
      <c r="G71" s="1065"/>
      <c r="H71" s="1065"/>
      <c r="I71" s="1065"/>
      <c r="J71" s="1065"/>
      <c r="K71" s="1065"/>
      <c r="L71" s="1065"/>
      <c r="M71" s="1065"/>
      <c r="N71" s="1065"/>
      <c r="O71" s="1065"/>
      <c r="P71" s="1065"/>
      <c r="Q71" s="1065"/>
      <c r="R71" s="1065"/>
      <c r="S71" s="1065"/>
      <c r="T71" s="1065"/>
      <c r="U71" s="1065"/>
      <c r="V71" s="1065"/>
      <c r="W71" s="1065"/>
      <c r="X71" s="1065"/>
      <c r="Y71" s="1065"/>
      <c r="Z71" s="1065"/>
      <c r="AA71" s="1065"/>
      <c r="AB71" s="1065"/>
      <c r="AC71" s="1065"/>
      <c r="AD71" s="1065"/>
      <c r="AE71" s="1065"/>
      <c r="AF71" s="1065"/>
      <c r="AG71" s="1065"/>
      <c r="AH71" s="1065"/>
      <c r="AI71" s="1065"/>
      <c r="AJ71" s="1065"/>
      <c r="AK71" s="1065"/>
      <c r="AL71" s="1065"/>
      <c r="AM71" s="1065"/>
      <c r="AN71" s="1065"/>
      <c r="AO71" s="1065"/>
      <c r="IN71" s="1023"/>
      <c r="IO71" s="1023"/>
      <c r="IP71" s="1023"/>
      <c r="IQ71" s="1023"/>
      <c r="IR71" s="1023"/>
      <c r="IS71" s="1023"/>
      <c r="IT71" s="1023"/>
      <c r="IU71" s="1023"/>
      <c r="IV71" s="1023"/>
    </row>
    <row r="72" spans="1:256" s="1059" customFormat="1" ht="12.75" customHeight="1">
      <c r="A72" s="1073" t="s">
        <v>229</v>
      </c>
      <c r="B72" s="1074" t="s">
        <v>224</v>
      </c>
      <c r="C72" s="1072"/>
      <c r="D72" s="1065">
        <f>IF('Saisie '!C68="","",'Saisie '!C68)</f>
      </c>
      <c r="E72" s="1065"/>
      <c r="F72" s="1065"/>
      <c r="G72" s="1065"/>
      <c r="H72" s="1065"/>
      <c r="I72" s="1065"/>
      <c r="J72" s="1065"/>
      <c r="K72" s="1065"/>
      <c r="L72" s="1065"/>
      <c r="M72" s="1065"/>
      <c r="N72" s="1065"/>
      <c r="O72" s="1065"/>
      <c r="P72" s="1065"/>
      <c r="Q72" s="1065"/>
      <c r="R72" s="1065"/>
      <c r="S72" s="1065"/>
      <c r="T72" s="1065"/>
      <c r="U72" s="1065"/>
      <c r="V72" s="1065"/>
      <c r="W72" s="1065"/>
      <c r="X72" s="1065"/>
      <c r="Y72" s="1065"/>
      <c r="Z72" s="1065"/>
      <c r="AA72" s="1065"/>
      <c r="AB72" s="1065"/>
      <c r="AC72" s="1065"/>
      <c r="AD72" s="1065"/>
      <c r="AE72" s="1065"/>
      <c r="AF72" s="1065"/>
      <c r="AG72" s="1065"/>
      <c r="AH72" s="1065"/>
      <c r="AI72" s="1065"/>
      <c r="AJ72" s="1065"/>
      <c r="AK72" s="1065"/>
      <c r="AL72" s="1065"/>
      <c r="AM72" s="1065"/>
      <c r="AN72" s="1065"/>
      <c r="AO72" s="1065"/>
      <c r="IN72" s="1023"/>
      <c r="IO72" s="1023"/>
      <c r="IP72" s="1023"/>
      <c r="IQ72" s="1023"/>
      <c r="IR72" s="1023"/>
      <c r="IS72" s="1023"/>
      <c r="IT72" s="1023"/>
      <c r="IU72" s="1023"/>
      <c r="IV72" s="1023"/>
    </row>
    <row r="73" spans="1:256" s="1059" customFormat="1" ht="12.75" customHeight="1">
      <c r="A73" s="1073" t="s">
        <v>231</v>
      </c>
      <c r="B73" s="1071" t="s">
        <v>230</v>
      </c>
      <c r="C73" s="1072"/>
      <c r="D73" s="1065">
        <f>IF('Saisie '!C69="","",'Saisie '!C69)</f>
      </c>
      <c r="E73" s="1065"/>
      <c r="F73" s="1065"/>
      <c r="G73" s="1065"/>
      <c r="H73" s="1065"/>
      <c r="I73" s="1065"/>
      <c r="J73" s="1065"/>
      <c r="K73" s="1065"/>
      <c r="L73" s="1065"/>
      <c r="M73" s="1065"/>
      <c r="N73" s="1065"/>
      <c r="O73" s="1065"/>
      <c r="P73" s="1065"/>
      <c r="Q73" s="1065"/>
      <c r="R73" s="1065"/>
      <c r="S73" s="1065"/>
      <c r="T73" s="1065"/>
      <c r="U73" s="1065"/>
      <c r="V73" s="1065"/>
      <c r="W73" s="1065"/>
      <c r="X73" s="1065"/>
      <c r="Y73" s="1065"/>
      <c r="Z73" s="1065"/>
      <c r="AA73" s="1065"/>
      <c r="AB73" s="1065"/>
      <c r="AC73" s="1065"/>
      <c r="AD73" s="1065"/>
      <c r="AE73" s="1065"/>
      <c r="AF73" s="1065"/>
      <c r="AG73" s="1065"/>
      <c r="AH73" s="1065"/>
      <c r="AI73" s="1065"/>
      <c r="AJ73" s="1065"/>
      <c r="AK73" s="1065"/>
      <c r="AL73" s="1065"/>
      <c r="AM73" s="1065"/>
      <c r="AN73" s="1065"/>
      <c r="AO73" s="1065"/>
      <c r="IN73" s="1023"/>
      <c r="IO73" s="1023"/>
      <c r="IP73" s="1023"/>
      <c r="IQ73" s="1023"/>
      <c r="IR73" s="1023"/>
      <c r="IS73" s="1023"/>
      <c r="IT73" s="1023"/>
      <c r="IU73" s="1023"/>
      <c r="IV73" s="1023"/>
    </row>
    <row r="74" spans="1:256" s="1059" customFormat="1" ht="12.75" customHeight="1">
      <c r="A74" s="1073" t="s">
        <v>234</v>
      </c>
      <c r="B74" s="1074" t="s">
        <v>224</v>
      </c>
      <c r="C74" s="1072"/>
      <c r="D74" s="1065">
        <f>IF('Saisie '!C70="","",'Saisie '!C70)</f>
      </c>
      <c r="E74" s="1065"/>
      <c r="F74" s="1065"/>
      <c r="G74" s="1065"/>
      <c r="H74" s="1065"/>
      <c r="I74" s="1065"/>
      <c r="J74" s="1065"/>
      <c r="K74" s="1065"/>
      <c r="L74" s="1065"/>
      <c r="M74" s="1065"/>
      <c r="N74" s="1065"/>
      <c r="O74" s="1065"/>
      <c r="P74" s="1065"/>
      <c r="Q74" s="1065"/>
      <c r="R74" s="1065"/>
      <c r="S74" s="1065"/>
      <c r="T74" s="1065"/>
      <c r="U74" s="1065"/>
      <c r="V74" s="1065"/>
      <c r="W74" s="1065"/>
      <c r="X74" s="1065"/>
      <c r="Y74" s="1065"/>
      <c r="Z74" s="1065"/>
      <c r="AA74" s="1065"/>
      <c r="AB74" s="1065"/>
      <c r="AC74" s="1065"/>
      <c r="AD74" s="1065"/>
      <c r="AE74" s="1065"/>
      <c r="AF74" s="1065"/>
      <c r="AG74" s="1065"/>
      <c r="AH74" s="1065"/>
      <c r="AI74" s="1065"/>
      <c r="AJ74" s="1065"/>
      <c r="AK74" s="1065"/>
      <c r="AL74" s="1065"/>
      <c r="AM74" s="1065"/>
      <c r="AN74" s="1065"/>
      <c r="AO74" s="1065"/>
      <c r="IN74" s="1023"/>
      <c r="IO74" s="1023"/>
      <c r="IP74" s="1023"/>
      <c r="IQ74" s="1023"/>
      <c r="IR74" s="1023"/>
      <c r="IS74" s="1023"/>
      <c r="IT74" s="1023"/>
      <c r="IU74" s="1023"/>
      <c r="IV74" s="1023"/>
    </row>
    <row r="75" spans="1:256" s="1059" customFormat="1" ht="12.75" customHeight="1">
      <c r="A75" s="1037" t="s">
        <v>236</v>
      </c>
      <c r="B75" s="1060" t="s">
        <v>235</v>
      </c>
      <c r="C75" s="1072" t="s">
        <v>159</v>
      </c>
      <c r="D75" s="1065">
        <f>IF('Saisie '!C71="","",'Saisie '!C71)</f>
      </c>
      <c r="E75" s="1065"/>
      <c r="F75" s="1065"/>
      <c r="G75" s="1065"/>
      <c r="H75" s="1065"/>
      <c r="I75" s="1065"/>
      <c r="J75" s="1065"/>
      <c r="K75" s="1065"/>
      <c r="L75" s="1065"/>
      <c r="M75" s="1065"/>
      <c r="N75" s="1065"/>
      <c r="O75" s="1065"/>
      <c r="P75" s="1065"/>
      <c r="Q75" s="1065"/>
      <c r="R75" s="1065"/>
      <c r="S75" s="1065"/>
      <c r="T75" s="1065"/>
      <c r="U75" s="1065"/>
      <c r="V75" s="1065"/>
      <c r="W75" s="1065"/>
      <c r="X75" s="1065"/>
      <c r="Y75" s="1065"/>
      <c r="Z75" s="1065"/>
      <c r="AA75" s="1065"/>
      <c r="AB75" s="1065"/>
      <c r="AC75" s="1065"/>
      <c r="AD75" s="1065"/>
      <c r="AE75" s="1065"/>
      <c r="AF75" s="1065"/>
      <c r="AG75" s="1065"/>
      <c r="AH75" s="1065"/>
      <c r="AI75" s="1065"/>
      <c r="AJ75" s="1065"/>
      <c r="AK75" s="1065"/>
      <c r="AL75" s="1065"/>
      <c r="AM75" s="1065"/>
      <c r="AN75" s="1065"/>
      <c r="AO75" s="1065"/>
      <c r="IN75" s="1023"/>
      <c r="IO75" s="1023"/>
      <c r="IP75" s="1023"/>
      <c r="IQ75" s="1023"/>
      <c r="IR75" s="1023"/>
      <c r="IS75" s="1023"/>
      <c r="IT75" s="1023"/>
      <c r="IU75" s="1023"/>
      <c r="IV75" s="1023"/>
    </row>
    <row r="76" spans="1:256" s="1059" customFormat="1" ht="12.75" customHeight="1">
      <c r="A76" s="1055" t="s">
        <v>239</v>
      </c>
      <c r="B76" s="1060" t="s">
        <v>238</v>
      </c>
      <c r="C76" s="1056" t="s">
        <v>159</v>
      </c>
      <c r="D76" s="1065">
        <f>IF('Saisie '!C72="","",'Saisie '!C72)</f>
      </c>
      <c r="E76" s="1065"/>
      <c r="F76" s="1065"/>
      <c r="G76" s="1065"/>
      <c r="H76" s="1065"/>
      <c r="I76" s="1065"/>
      <c r="J76" s="1065"/>
      <c r="K76" s="1065"/>
      <c r="L76" s="1065"/>
      <c r="M76" s="1065"/>
      <c r="N76" s="1065"/>
      <c r="O76" s="1065"/>
      <c r="P76" s="1065"/>
      <c r="Q76" s="1065"/>
      <c r="R76" s="1065"/>
      <c r="S76" s="1065"/>
      <c r="T76" s="1065"/>
      <c r="U76" s="1065"/>
      <c r="V76" s="1065"/>
      <c r="W76" s="1065"/>
      <c r="X76" s="1065"/>
      <c r="Y76" s="1065"/>
      <c r="Z76" s="1065"/>
      <c r="AA76" s="1065"/>
      <c r="AB76" s="1065"/>
      <c r="AC76" s="1065"/>
      <c r="AD76" s="1065"/>
      <c r="AE76" s="1065"/>
      <c r="AF76" s="1065"/>
      <c r="AG76" s="1065"/>
      <c r="AH76" s="1065"/>
      <c r="AI76" s="1065"/>
      <c r="AJ76" s="1065"/>
      <c r="AK76" s="1065"/>
      <c r="AL76" s="1065"/>
      <c r="AM76" s="1065"/>
      <c r="AN76" s="1065"/>
      <c r="AO76" s="1065"/>
      <c r="IN76" s="1023"/>
      <c r="IO76" s="1023"/>
      <c r="IP76" s="1023"/>
      <c r="IQ76" s="1023"/>
      <c r="IR76" s="1023"/>
      <c r="IS76" s="1023"/>
      <c r="IT76" s="1023"/>
      <c r="IU76" s="1023"/>
      <c r="IV76" s="1023"/>
    </row>
    <row r="77" spans="1:256" s="1059" customFormat="1" ht="12.75" customHeight="1">
      <c r="A77" s="1055" t="s">
        <v>241</v>
      </c>
      <c r="B77" s="1060" t="s">
        <v>240</v>
      </c>
      <c r="C77" s="1056" t="s">
        <v>159</v>
      </c>
      <c r="D77" s="1065">
        <f>IF('Saisie '!C73="","",'Saisie '!C73)</f>
      </c>
      <c r="E77" s="1065"/>
      <c r="F77" s="1065"/>
      <c r="G77" s="1065"/>
      <c r="H77" s="1065"/>
      <c r="I77" s="1065"/>
      <c r="J77" s="1065"/>
      <c r="K77" s="1065"/>
      <c r="L77" s="1065"/>
      <c r="M77" s="1065"/>
      <c r="N77" s="1065"/>
      <c r="O77" s="1065"/>
      <c r="P77" s="1065"/>
      <c r="Q77" s="1065"/>
      <c r="R77" s="1065"/>
      <c r="S77" s="1065"/>
      <c r="T77" s="1065"/>
      <c r="U77" s="1065"/>
      <c r="V77" s="1065"/>
      <c r="W77" s="1065"/>
      <c r="X77" s="1065"/>
      <c r="Y77" s="1065"/>
      <c r="Z77" s="1065"/>
      <c r="AA77" s="1065"/>
      <c r="AB77" s="1065"/>
      <c r="AC77" s="1065"/>
      <c r="AD77" s="1065"/>
      <c r="AE77" s="1065"/>
      <c r="AF77" s="1065"/>
      <c r="AG77" s="1065"/>
      <c r="AH77" s="1065"/>
      <c r="AI77" s="1065"/>
      <c r="AJ77" s="1065"/>
      <c r="AK77" s="1065"/>
      <c r="AL77" s="1065"/>
      <c r="AM77" s="1065"/>
      <c r="AN77" s="1065"/>
      <c r="AO77" s="1065"/>
      <c r="IN77" s="1023"/>
      <c r="IO77" s="1023"/>
      <c r="IP77" s="1023"/>
      <c r="IQ77" s="1023"/>
      <c r="IR77" s="1023"/>
      <c r="IS77" s="1023"/>
      <c r="IT77" s="1023"/>
      <c r="IU77" s="1023"/>
      <c r="IV77" s="1023"/>
    </row>
    <row r="78" spans="1:256" s="1059" customFormat="1" ht="12.75" customHeight="1">
      <c r="A78" s="1055" t="s">
        <v>243</v>
      </c>
      <c r="B78" s="1060" t="s">
        <v>242</v>
      </c>
      <c r="C78" s="1056" t="s">
        <v>159</v>
      </c>
      <c r="D78" s="1065">
        <f>IF('Saisie '!C74="","",'Saisie '!C74)</f>
      </c>
      <c r="E78" s="1065"/>
      <c r="F78" s="1065"/>
      <c r="G78" s="1065"/>
      <c r="H78" s="1065"/>
      <c r="I78" s="1065"/>
      <c r="J78" s="1065"/>
      <c r="K78" s="1065"/>
      <c r="L78" s="1065"/>
      <c r="M78" s="1065"/>
      <c r="N78" s="1065"/>
      <c r="O78" s="1065"/>
      <c r="P78" s="1065"/>
      <c r="Q78" s="1065"/>
      <c r="R78" s="1065"/>
      <c r="S78" s="1065"/>
      <c r="T78" s="1065"/>
      <c r="U78" s="1065"/>
      <c r="V78" s="1065"/>
      <c r="W78" s="1065"/>
      <c r="X78" s="1065"/>
      <c r="Y78" s="1065"/>
      <c r="Z78" s="1065"/>
      <c r="AA78" s="1065"/>
      <c r="AB78" s="1065"/>
      <c r="AC78" s="1065"/>
      <c r="AD78" s="1065"/>
      <c r="AE78" s="1065"/>
      <c r="AF78" s="1065"/>
      <c r="AG78" s="1065"/>
      <c r="AH78" s="1065"/>
      <c r="AI78" s="1065"/>
      <c r="AJ78" s="1065"/>
      <c r="AK78" s="1065"/>
      <c r="AL78" s="1065"/>
      <c r="AM78" s="1065"/>
      <c r="AN78" s="1065"/>
      <c r="AO78" s="1065"/>
      <c r="IN78" s="1023"/>
      <c r="IO78" s="1023"/>
      <c r="IP78" s="1023"/>
      <c r="IQ78" s="1023"/>
      <c r="IR78" s="1023"/>
      <c r="IS78" s="1023"/>
      <c r="IT78" s="1023"/>
      <c r="IU78" s="1023"/>
      <c r="IV78" s="1023"/>
    </row>
    <row r="79" spans="1:256" s="1059" customFormat="1" ht="12.75" customHeight="1">
      <c r="A79" s="1055" t="s">
        <v>245</v>
      </c>
      <c r="B79" s="1060" t="s">
        <v>238</v>
      </c>
      <c r="C79" s="1056" t="s">
        <v>159</v>
      </c>
      <c r="D79" s="1065">
        <f>IF('Saisie '!C75="","",'Saisie '!C75)</f>
      </c>
      <c r="E79" s="1065"/>
      <c r="F79" s="1065"/>
      <c r="G79" s="1065"/>
      <c r="H79" s="1065"/>
      <c r="I79" s="1065"/>
      <c r="J79" s="1065"/>
      <c r="K79" s="1065"/>
      <c r="L79" s="1065"/>
      <c r="M79" s="1065"/>
      <c r="N79" s="1065"/>
      <c r="O79" s="1065"/>
      <c r="P79" s="1065"/>
      <c r="Q79" s="1065"/>
      <c r="R79" s="1065"/>
      <c r="S79" s="1065"/>
      <c r="T79" s="1065"/>
      <c r="U79" s="1065"/>
      <c r="V79" s="1065"/>
      <c r="W79" s="1065"/>
      <c r="X79" s="1065"/>
      <c r="Y79" s="1065"/>
      <c r="Z79" s="1065"/>
      <c r="AA79" s="1065"/>
      <c r="AB79" s="1065"/>
      <c r="AC79" s="1065"/>
      <c r="AD79" s="1065"/>
      <c r="AE79" s="1065"/>
      <c r="AF79" s="1065"/>
      <c r="AG79" s="1065"/>
      <c r="AH79" s="1065"/>
      <c r="AI79" s="1065"/>
      <c r="AJ79" s="1065"/>
      <c r="AK79" s="1065"/>
      <c r="AL79" s="1065"/>
      <c r="AM79" s="1065"/>
      <c r="AN79" s="1065"/>
      <c r="AO79" s="1065"/>
      <c r="IN79" s="1023"/>
      <c r="IO79" s="1023"/>
      <c r="IP79" s="1023"/>
      <c r="IQ79" s="1023"/>
      <c r="IR79" s="1023"/>
      <c r="IS79" s="1023"/>
      <c r="IT79" s="1023"/>
      <c r="IU79" s="1023"/>
      <c r="IV79" s="1023"/>
    </row>
    <row r="80" spans="1:256" s="1059" customFormat="1" ht="12.75" customHeight="1">
      <c r="A80" s="1055" t="s">
        <v>246</v>
      </c>
      <c r="B80" s="1060" t="s">
        <v>240</v>
      </c>
      <c r="C80" s="1056" t="s">
        <v>159</v>
      </c>
      <c r="D80" s="1065">
        <f>IF('Saisie '!C76="","",'Saisie '!C76)</f>
      </c>
      <c r="E80" s="1065"/>
      <c r="F80" s="1065"/>
      <c r="G80" s="1065"/>
      <c r="H80" s="1065"/>
      <c r="I80" s="1065"/>
      <c r="J80" s="1065"/>
      <c r="K80" s="1065"/>
      <c r="L80" s="1065"/>
      <c r="M80" s="1065"/>
      <c r="N80" s="1065"/>
      <c r="O80" s="1065"/>
      <c r="P80" s="1065"/>
      <c r="Q80" s="1065"/>
      <c r="R80" s="1065"/>
      <c r="S80" s="1065"/>
      <c r="T80" s="1065"/>
      <c r="U80" s="1065"/>
      <c r="V80" s="1065"/>
      <c r="W80" s="1065"/>
      <c r="X80" s="1065"/>
      <c r="Y80" s="1065"/>
      <c r="Z80" s="1065"/>
      <c r="AA80" s="1065"/>
      <c r="AB80" s="1065"/>
      <c r="AC80" s="1065"/>
      <c r="AD80" s="1065"/>
      <c r="AE80" s="1065"/>
      <c r="AF80" s="1065"/>
      <c r="AG80" s="1065"/>
      <c r="AH80" s="1065"/>
      <c r="AI80" s="1065"/>
      <c r="AJ80" s="1065"/>
      <c r="AK80" s="1065"/>
      <c r="AL80" s="1065"/>
      <c r="AM80" s="1065"/>
      <c r="AN80" s="1065"/>
      <c r="AO80" s="1065"/>
      <c r="IN80" s="1023"/>
      <c r="IO80" s="1023"/>
      <c r="IP80" s="1023"/>
      <c r="IQ80" s="1023"/>
      <c r="IR80" s="1023"/>
      <c r="IS80" s="1023"/>
      <c r="IT80" s="1023"/>
      <c r="IU80" s="1023"/>
      <c r="IV80" s="1023"/>
    </row>
    <row r="81" spans="1:256" s="1059" customFormat="1" ht="12.75" customHeight="1">
      <c r="A81" s="1055" t="s">
        <v>248</v>
      </c>
      <c r="B81" s="1060" t="s">
        <v>247</v>
      </c>
      <c r="C81" s="1056" t="s">
        <v>159</v>
      </c>
      <c r="D81" s="1065">
        <f>IF('Saisie '!C77="","",'Saisie '!C77)</f>
      </c>
      <c r="E81" s="1065"/>
      <c r="F81" s="1065"/>
      <c r="G81" s="1065"/>
      <c r="H81" s="1065"/>
      <c r="I81" s="1065"/>
      <c r="J81" s="1065"/>
      <c r="K81" s="1065"/>
      <c r="L81" s="1065"/>
      <c r="M81" s="1065"/>
      <c r="N81" s="1065"/>
      <c r="O81" s="1065"/>
      <c r="P81" s="1065"/>
      <c r="Q81" s="1065"/>
      <c r="R81" s="1065"/>
      <c r="S81" s="1065"/>
      <c r="T81" s="1065"/>
      <c r="U81" s="1065"/>
      <c r="V81" s="1065"/>
      <c r="W81" s="1065"/>
      <c r="X81" s="1065"/>
      <c r="Y81" s="1065"/>
      <c r="Z81" s="1065"/>
      <c r="AA81" s="1065"/>
      <c r="AB81" s="1065"/>
      <c r="AC81" s="1065"/>
      <c r="AD81" s="1065"/>
      <c r="AE81" s="1065"/>
      <c r="AF81" s="1065"/>
      <c r="AG81" s="1065"/>
      <c r="AH81" s="1065"/>
      <c r="AI81" s="1065"/>
      <c r="AJ81" s="1065"/>
      <c r="AK81" s="1065"/>
      <c r="AL81" s="1065"/>
      <c r="AM81" s="1065"/>
      <c r="AN81" s="1065"/>
      <c r="AO81" s="1065"/>
      <c r="IN81" s="1023"/>
      <c r="IO81" s="1023"/>
      <c r="IP81" s="1023"/>
      <c r="IQ81" s="1023"/>
      <c r="IR81" s="1023"/>
      <c r="IS81" s="1023"/>
      <c r="IT81" s="1023"/>
      <c r="IU81" s="1023"/>
      <c r="IV81" s="1023"/>
    </row>
    <row r="82" spans="1:256" s="1059" customFormat="1" ht="12.75" customHeight="1">
      <c r="A82" s="1055" t="s">
        <v>250</v>
      </c>
      <c r="B82" s="1060" t="s">
        <v>238</v>
      </c>
      <c r="C82" s="1056" t="s">
        <v>159</v>
      </c>
      <c r="D82" s="1065">
        <f>IF('Saisie '!C78="","",'Saisie '!C78)</f>
      </c>
      <c r="E82" s="1065"/>
      <c r="F82" s="1065"/>
      <c r="G82" s="1065"/>
      <c r="H82" s="1065"/>
      <c r="I82" s="1065"/>
      <c r="J82" s="1065"/>
      <c r="K82" s="1065"/>
      <c r="L82" s="1065"/>
      <c r="M82" s="1065"/>
      <c r="N82" s="1065"/>
      <c r="O82" s="1065"/>
      <c r="P82" s="1065"/>
      <c r="Q82" s="1065"/>
      <c r="R82" s="1065"/>
      <c r="S82" s="1065"/>
      <c r="T82" s="1065"/>
      <c r="U82" s="1065"/>
      <c r="V82" s="1065"/>
      <c r="W82" s="1065"/>
      <c r="X82" s="1065"/>
      <c r="Y82" s="1065"/>
      <c r="Z82" s="1065"/>
      <c r="AA82" s="1065"/>
      <c r="AB82" s="1065"/>
      <c r="AC82" s="1065"/>
      <c r="AD82" s="1065"/>
      <c r="AE82" s="1065"/>
      <c r="AF82" s="1065"/>
      <c r="AG82" s="1065"/>
      <c r="AH82" s="1065"/>
      <c r="AI82" s="1065"/>
      <c r="AJ82" s="1065"/>
      <c r="AK82" s="1065"/>
      <c r="AL82" s="1065"/>
      <c r="AM82" s="1065"/>
      <c r="AN82" s="1065"/>
      <c r="AO82" s="1065"/>
      <c r="IN82" s="1023"/>
      <c r="IO82" s="1023"/>
      <c r="IP82" s="1023"/>
      <c r="IQ82" s="1023"/>
      <c r="IR82" s="1023"/>
      <c r="IS82" s="1023"/>
      <c r="IT82" s="1023"/>
      <c r="IU82" s="1023"/>
      <c r="IV82" s="1023"/>
    </row>
    <row r="83" spans="1:256" s="1059" customFormat="1" ht="12.75" customHeight="1">
      <c r="A83" s="1055" t="s">
        <v>251</v>
      </c>
      <c r="B83" s="1060" t="s">
        <v>240</v>
      </c>
      <c r="C83" s="1056" t="s">
        <v>159</v>
      </c>
      <c r="D83" s="1065">
        <f>IF('Saisie '!C79="","",'Saisie '!C79)</f>
      </c>
      <c r="E83" s="1065"/>
      <c r="F83" s="1065"/>
      <c r="G83" s="1065"/>
      <c r="H83" s="1065"/>
      <c r="I83" s="1065"/>
      <c r="J83" s="1065"/>
      <c r="K83" s="1065"/>
      <c r="L83" s="1065"/>
      <c r="M83" s="1065"/>
      <c r="N83" s="1065"/>
      <c r="O83" s="1065"/>
      <c r="P83" s="1065"/>
      <c r="Q83" s="1065"/>
      <c r="R83" s="1065"/>
      <c r="S83" s="1065"/>
      <c r="T83" s="1065"/>
      <c r="U83" s="1065"/>
      <c r="V83" s="1065"/>
      <c r="W83" s="1065"/>
      <c r="X83" s="1065"/>
      <c r="Y83" s="1065"/>
      <c r="Z83" s="1065"/>
      <c r="AA83" s="1065"/>
      <c r="AB83" s="1065"/>
      <c r="AC83" s="1065"/>
      <c r="AD83" s="1065"/>
      <c r="AE83" s="1065"/>
      <c r="AF83" s="1065"/>
      <c r="AG83" s="1065"/>
      <c r="AH83" s="1065"/>
      <c r="AI83" s="1065"/>
      <c r="AJ83" s="1065"/>
      <c r="AK83" s="1065"/>
      <c r="AL83" s="1065"/>
      <c r="AM83" s="1065"/>
      <c r="AN83" s="1065"/>
      <c r="AO83" s="1065"/>
      <c r="IN83" s="1023"/>
      <c r="IO83" s="1023"/>
      <c r="IP83" s="1023"/>
      <c r="IQ83" s="1023"/>
      <c r="IR83" s="1023"/>
      <c r="IS83" s="1023"/>
      <c r="IT83" s="1023"/>
      <c r="IU83" s="1023"/>
      <c r="IV83" s="1023"/>
    </row>
    <row r="84" spans="1:256" s="1059" customFormat="1" ht="12.75" customHeight="1">
      <c r="A84" s="1055" t="s">
        <v>253</v>
      </c>
      <c r="B84" s="1060" t="s">
        <v>252</v>
      </c>
      <c r="C84" s="1056" t="s">
        <v>159</v>
      </c>
      <c r="D84" s="1065">
        <f>IF('Saisie '!C80="","",'Saisie '!C80)</f>
      </c>
      <c r="E84" s="1065"/>
      <c r="F84" s="1065"/>
      <c r="G84" s="1065"/>
      <c r="H84" s="1065"/>
      <c r="I84" s="1065"/>
      <c r="J84" s="1065"/>
      <c r="K84" s="1065"/>
      <c r="L84" s="1065"/>
      <c r="M84" s="1065"/>
      <c r="N84" s="1065"/>
      <c r="O84" s="1065"/>
      <c r="P84" s="1065"/>
      <c r="Q84" s="1065"/>
      <c r="R84" s="1065"/>
      <c r="S84" s="1065"/>
      <c r="T84" s="1065"/>
      <c r="U84" s="1065"/>
      <c r="V84" s="1065"/>
      <c r="W84" s="1065"/>
      <c r="X84" s="1065"/>
      <c r="Y84" s="1065"/>
      <c r="Z84" s="1065"/>
      <c r="AA84" s="1065"/>
      <c r="AB84" s="1065"/>
      <c r="AC84" s="1065"/>
      <c r="AD84" s="1065"/>
      <c r="AE84" s="1065"/>
      <c r="AF84" s="1065"/>
      <c r="AG84" s="1065"/>
      <c r="AH84" s="1065"/>
      <c r="AI84" s="1065"/>
      <c r="AJ84" s="1065"/>
      <c r="AK84" s="1065"/>
      <c r="AL84" s="1065"/>
      <c r="AM84" s="1065"/>
      <c r="AN84" s="1065"/>
      <c r="AO84" s="1065"/>
      <c r="IN84" s="1023"/>
      <c r="IO84" s="1023"/>
      <c r="IP84" s="1023"/>
      <c r="IQ84" s="1023"/>
      <c r="IR84" s="1023"/>
      <c r="IS84" s="1023"/>
      <c r="IT84" s="1023"/>
      <c r="IU84" s="1023"/>
      <c r="IV84" s="1023"/>
    </row>
    <row r="85" spans="1:256" s="1059" customFormat="1" ht="12.75" customHeight="1">
      <c r="A85" s="1055" t="s">
        <v>257</v>
      </c>
      <c r="B85" s="1060" t="s">
        <v>256</v>
      </c>
      <c r="C85" s="1056" t="s">
        <v>159</v>
      </c>
      <c r="D85" s="1065">
        <f>IF('Saisie '!C81="","",'Saisie '!C81)</f>
      </c>
      <c r="E85" s="1065"/>
      <c r="F85" s="1065"/>
      <c r="G85" s="1065"/>
      <c r="H85" s="1065"/>
      <c r="I85" s="1065"/>
      <c r="J85" s="1065"/>
      <c r="K85" s="1065"/>
      <c r="L85" s="1065"/>
      <c r="M85" s="1065"/>
      <c r="N85" s="1065"/>
      <c r="O85" s="1065"/>
      <c r="P85" s="1065"/>
      <c r="Q85" s="1065"/>
      <c r="R85" s="1065"/>
      <c r="S85" s="1065"/>
      <c r="T85" s="1065"/>
      <c r="U85" s="1065"/>
      <c r="V85" s="1065"/>
      <c r="W85" s="1065"/>
      <c r="X85" s="1065"/>
      <c r="Y85" s="1065"/>
      <c r="Z85" s="1065"/>
      <c r="AA85" s="1065"/>
      <c r="AB85" s="1065"/>
      <c r="AC85" s="1065"/>
      <c r="AD85" s="1065"/>
      <c r="AE85" s="1065"/>
      <c r="AF85" s="1065"/>
      <c r="AG85" s="1065"/>
      <c r="AH85" s="1065"/>
      <c r="AI85" s="1065"/>
      <c r="AJ85" s="1065"/>
      <c r="AK85" s="1065"/>
      <c r="AL85" s="1065"/>
      <c r="AM85" s="1065"/>
      <c r="AN85" s="1065"/>
      <c r="AO85" s="1065"/>
      <c r="IN85" s="1023"/>
      <c r="IO85" s="1023"/>
      <c r="IP85" s="1023"/>
      <c r="IQ85" s="1023"/>
      <c r="IR85" s="1023"/>
      <c r="IS85" s="1023"/>
      <c r="IT85" s="1023"/>
      <c r="IU85" s="1023"/>
      <c r="IV85" s="1023"/>
    </row>
    <row r="86" spans="1:256" s="1059" customFormat="1" ht="12.75" customHeight="1">
      <c r="A86" s="1055" t="s">
        <v>259</v>
      </c>
      <c r="B86" s="1060" t="s">
        <v>258</v>
      </c>
      <c r="C86" s="1056" t="s">
        <v>159</v>
      </c>
      <c r="D86" s="1065">
        <f>IF('Saisie '!C82="","",'Saisie '!C82)</f>
      </c>
      <c r="E86" s="1065"/>
      <c r="F86" s="1065"/>
      <c r="G86" s="1065"/>
      <c r="H86" s="1065"/>
      <c r="I86" s="1065"/>
      <c r="J86" s="1065"/>
      <c r="K86" s="1065"/>
      <c r="L86" s="1065"/>
      <c r="M86" s="1065"/>
      <c r="N86" s="1065"/>
      <c r="O86" s="1065"/>
      <c r="P86" s="1065"/>
      <c r="Q86" s="1065"/>
      <c r="R86" s="1065"/>
      <c r="S86" s="1065"/>
      <c r="T86" s="1065"/>
      <c r="U86" s="1065"/>
      <c r="V86" s="1065"/>
      <c r="W86" s="1065"/>
      <c r="X86" s="1065"/>
      <c r="Y86" s="1065"/>
      <c r="Z86" s="1065"/>
      <c r="AA86" s="1065"/>
      <c r="AB86" s="1065"/>
      <c r="AC86" s="1065"/>
      <c r="AD86" s="1065"/>
      <c r="AE86" s="1065"/>
      <c r="AF86" s="1065"/>
      <c r="AG86" s="1065"/>
      <c r="AH86" s="1065"/>
      <c r="AI86" s="1065"/>
      <c r="AJ86" s="1065"/>
      <c r="AK86" s="1065"/>
      <c r="AL86" s="1065"/>
      <c r="AM86" s="1065"/>
      <c r="AN86" s="1065"/>
      <c r="AO86" s="1065"/>
      <c r="IN86" s="1023"/>
      <c r="IO86" s="1023"/>
      <c r="IP86" s="1023"/>
      <c r="IQ86" s="1023"/>
      <c r="IR86" s="1023"/>
      <c r="IS86" s="1023"/>
      <c r="IT86" s="1023"/>
      <c r="IU86" s="1023"/>
      <c r="IV86" s="1023"/>
    </row>
    <row r="87" spans="1:256" s="1059" customFormat="1" ht="12.75" customHeight="1">
      <c r="A87" s="1055" t="s">
        <v>784</v>
      </c>
      <c r="B87" s="1060" t="s">
        <v>256</v>
      </c>
      <c r="C87" s="1056" t="s">
        <v>159</v>
      </c>
      <c r="D87" s="1065">
        <f>IF('Saisie '!C83="","",'Saisie '!C83)</f>
      </c>
      <c r="E87" s="1065"/>
      <c r="F87" s="1065"/>
      <c r="G87" s="1065"/>
      <c r="H87" s="1065"/>
      <c r="I87" s="1065"/>
      <c r="J87" s="1065"/>
      <c r="K87" s="1065"/>
      <c r="L87" s="1065"/>
      <c r="M87" s="1065"/>
      <c r="N87" s="1065"/>
      <c r="O87" s="1065"/>
      <c r="P87" s="1065"/>
      <c r="Q87" s="1065"/>
      <c r="R87" s="1065"/>
      <c r="S87" s="1065"/>
      <c r="T87" s="1065"/>
      <c r="U87" s="1065"/>
      <c r="V87" s="1065"/>
      <c r="W87" s="1065"/>
      <c r="X87" s="1065"/>
      <c r="Y87" s="1065"/>
      <c r="Z87" s="1065"/>
      <c r="AA87" s="1065"/>
      <c r="AB87" s="1065"/>
      <c r="AC87" s="1065"/>
      <c r="AD87" s="1065"/>
      <c r="AE87" s="1065"/>
      <c r="AF87" s="1065"/>
      <c r="AG87" s="1065"/>
      <c r="AH87" s="1065"/>
      <c r="AI87" s="1065"/>
      <c r="AJ87" s="1065"/>
      <c r="AK87" s="1065"/>
      <c r="AL87" s="1065"/>
      <c r="AM87" s="1065"/>
      <c r="AN87" s="1065"/>
      <c r="AO87" s="1065"/>
      <c r="IN87" s="1023"/>
      <c r="IO87" s="1023"/>
      <c r="IP87" s="1023"/>
      <c r="IQ87" s="1023"/>
      <c r="IR87" s="1023"/>
      <c r="IS87" s="1023"/>
      <c r="IT87" s="1023"/>
      <c r="IU87" s="1023"/>
      <c r="IV87" s="1023"/>
    </row>
    <row r="88" spans="1:256" s="1059" customFormat="1" ht="12.75" customHeight="1">
      <c r="A88" s="1055" t="s">
        <v>264</v>
      </c>
      <c r="B88" s="1075" t="s">
        <v>263</v>
      </c>
      <c r="C88" s="1056"/>
      <c r="D88" s="1065">
        <f>IF('Saisie '!C84="","",'Saisie '!C84)</f>
      </c>
      <c r="E88" s="1065"/>
      <c r="F88" s="1065"/>
      <c r="G88" s="1065"/>
      <c r="H88" s="1065"/>
      <c r="I88" s="1065"/>
      <c r="J88" s="1065"/>
      <c r="K88" s="1065"/>
      <c r="L88" s="1065"/>
      <c r="M88" s="1065"/>
      <c r="N88" s="1065"/>
      <c r="O88" s="1065"/>
      <c r="P88" s="1065"/>
      <c r="Q88" s="1065"/>
      <c r="R88" s="1065"/>
      <c r="S88" s="1065"/>
      <c r="T88" s="1065"/>
      <c r="U88" s="1065"/>
      <c r="V88" s="1065"/>
      <c r="W88" s="1065"/>
      <c r="X88" s="1065"/>
      <c r="Y88" s="1065"/>
      <c r="Z88" s="1065"/>
      <c r="AA88" s="1065"/>
      <c r="AB88" s="1065"/>
      <c r="AC88" s="1065"/>
      <c r="AD88" s="1065"/>
      <c r="AE88" s="1065"/>
      <c r="AF88" s="1065"/>
      <c r="AG88" s="1065"/>
      <c r="AH88" s="1065"/>
      <c r="AI88" s="1065"/>
      <c r="AJ88" s="1065"/>
      <c r="AK88" s="1065"/>
      <c r="AL88" s="1065"/>
      <c r="AM88" s="1065"/>
      <c r="AN88" s="1065"/>
      <c r="AO88" s="1065"/>
      <c r="IN88" s="1023"/>
      <c r="IO88" s="1023"/>
      <c r="IP88" s="1023"/>
      <c r="IQ88" s="1023"/>
      <c r="IR88" s="1023"/>
      <c r="IS88" s="1023"/>
      <c r="IT88" s="1023"/>
      <c r="IU88" s="1023"/>
      <c r="IV88" s="1023"/>
    </row>
    <row r="89" spans="1:256" s="1059" customFormat="1" ht="12.75" customHeight="1">
      <c r="A89" s="1055" t="s">
        <v>265</v>
      </c>
      <c r="B89" s="1075" t="s">
        <v>224</v>
      </c>
      <c r="C89" s="1056"/>
      <c r="D89" s="1065">
        <f>IF('Saisie '!C85="","",'Saisie '!C85)</f>
      </c>
      <c r="E89" s="1065"/>
      <c r="F89" s="1065"/>
      <c r="G89" s="1065"/>
      <c r="H89" s="1065"/>
      <c r="I89" s="1065"/>
      <c r="J89" s="1065"/>
      <c r="K89" s="1065"/>
      <c r="L89" s="1065"/>
      <c r="M89" s="1065"/>
      <c r="N89" s="1065"/>
      <c r="O89" s="1065"/>
      <c r="P89" s="1065"/>
      <c r="Q89" s="1065"/>
      <c r="R89" s="1065"/>
      <c r="S89" s="1065"/>
      <c r="T89" s="1065"/>
      <c r="U89" s="1065"/>
      <c r="V89" s="1065"/>
      <c r="W89" s="1065"/>
      <c r="X89" s="1065"/>
      <c r="Y89" s="1065"/>
      <c r="Z89" s="1065"/>
      <c r="AA89" s="1065"/>
      <c r="AB89" s="1065"/>
      <c r="AC89" s="1065"/>
      <c r="AD89" s="1065"/>
      <c r="AE89" s="1065"/>
      <c r="AF89" s="1065"/>
      <c r="AG89" s="1065"/>
      <c r="AH89" s="1065"/>
      <c r="AI89" s="1065"/>
      <c r="AJ89" s="1065"/>
      <c r="AK89" s="1065"/>
      <c r="AL89" s="1065"/>
      <c r="AM89" s="1065"/>
      <c r="AN89" s="1065"/>
      <c r="AO89" s="1065"/>
      <c r="IN89" s="1023"/>
      <c r="IO89" s="1023"/>
      <c r="IP89" s="1023"/>
      <c r="IQ89" s="1023"/>
      <c r="IR89" s="1023"/>
      <c r="IS89" s="1023"/>
      <c r="IT89" s="1023"/>
      <c r="IU89" s="1023"/>
      <c r="IV89" s="1023"/>
    </row>
    <row r="90" spans="1:256" s="1059" customFormat="1" ht="12.75" customHeight="1">
      <c r="A90" s="1055" t="s">
        <v>267</v>
      </c>
      <c r="B90" s="1075" t="s">
        <v>266</v>
      </c>
      <c r="C90" s="1056"/>
      <c r="D90" s="1065">
        <f>IF('Saisie '!C86="","",'Saisie '!C86)</f>
      </c>
      <c r="E90" s="1065"/>
      <c r="F90" s="1065"/>
      <c r="G90" s="1065"/>
      <c r="H90" s="1065"/>
      <c r="I90" s="1065"/>
      <c r="J90" s="1065"/>
      <c r="K90" s="1065"/>
      <c r="L90" s="1065"/>
      <c r="M90" s="1065"/>
      <c r="N90" s="1065"/>
      <c r="O90" s="1065"/>
      <c r="P90" s="1065"/>
      <c r="Q90" s="1065"/>
      <c r="R90" s="1065"/>
      <c r="S90" s="1065"/>
      <c r="T90" s="1065"/>
      <c r="U90" s="1065"/>
      <c r="V90" s="1065"/>
      <c r="W90" s="1065"/>
      <c r="X90" s="1065"/>
      <c r="Y90" s="1065"/>
      <c r="Z90" s="1065"/>
      <c r="AA90" s="1065"/>
      <c r="AB90" s="1065"/>
      <c r="AC90" s="1065"/>
      <c r="AD90" s="1065"/>
      <c r="AE90" s="1065"/>
      <c r="AF90" s="1065"/>
      <c r="AG90" s="1065"/>
      <c r="AH90" s="1065"/>
      <c r="AI90" s="1065"/>
      <c r="AJ90" s="1065"/>
      <c r="AK90" s="1065"/>
      <c r="AL90" s="1065"/>
      <c r="AM90" s="1065"/>
      <c r="AN90" s="1065"/>
      <c r="AO90" s="1065"/>
      <c r="IN90" s="1023"/>
      <c r="IO90" s="1023"/>
      <c r="IP90" s="1023"/>
      <c r="IQ90" s="1023"/>
      <c r="IR90" s="1023"/>
      <c r="IS90" s="1023"/>
      <c r="IT90" s="1023"/>
      <c r="IU90" s="1023"/>
      <c r="IV90" s="1023"/>
    </row>
    <row r="91" spans="1:256" s="1059" customFormat="1" ht="12.75" customHeight="1">
      <c r="A91" s="1055" t="s">
        <v>268</v>
      </c>
      <c r="B91" s="1068" t="s">
        <v>224</v>
      </c>
      <c r="C91" s="1056"/>
      <c r="D91" s="1065">
        <f>IF('Saisie '!C87="","",'Saisie '!C87)</f>
      </c>
      <c r="E91" s="1065"/>
      <c r="F91" s="1065"/>
      <c r="G91" s="1065"/>
      <c r="H91" s="1065"/>
      <c r="I91" s="1065"/>
      <c r="J91" s="1065"/>
      <c r="K91" s="1065"/>
      <c r="L91" s="1065"/>
      <c r="M91" s="1065"/>
      <c r="N91" s="1065"/>
      <c r="O91" s="1065"/>
      <c r="P91" s="1065"/>
      <c r="Q91" s="1065"/>
      <c r="R91" s="1065"/>
      <c r="S91" s="1065"/>
      <c r="T91" s="1065"/>
      <c r="U91" s="1065"/>
      <c r="V91" s="1065"/>
      <c r="W91" s="1065"/>
      <c r="X91" s="1065"/>
      <c r="Y91" s="1065"/>
      <c r="Z91" s="1065"/>
      <c r="AA91" s="1065"/>
      <c r="AB91" s="1065"/>
      <c r="AC91" s="1065"/>
      <c r="AD91" s="1065"/>
      <c r="AE91" s="1065"/>
      <c r="AF91" s="1065"/>
      <c r="AG91" s="1065"/>
      <c r="AH91" s="1065"/>
      <c r="AI91" s="1065"/>
      <c r="AJ91" s="1065"/>
      <c r="AK91" s="1065"/>
      <c r="AL91" s="1065"/>
      <c r="AM91" s="1065"/>
      <c r="AN91" s="1065"/>
      <c r="AO91" s="1065"/>
      <c r="IN91" s="1023"/>
      <c r="IO91" s="1023"/>
      <c r="IP91" s="1023"/>
      <c r="IQ91" s="1023"/>
      <c r="IR91" s="1023"/>
      <c r="IS91" s="1023"/>
      <c r="IT91" s="1023"/>
      <c r="IU91" s="1023"/>
      <c r="IV91" s="1023"/>
    </row>
    <row r="92" spans="1:256" s="1059" customFormat="1" ht="12.75" customHeight="1">
      <c r="A92" s="1055" t="s">
        <v>270</v>
      </c>
      <c r="B92" s="1060" t="s">
        <v>269</v>
      </c>
      <c r="C92" s="1056" t="s">
        <v>159</v>
      </c>
      <c r="D92" s="1065">
        <f>IF('Saisie '!C88="","",'Saisie '!C88)</f>
      </c>
      <c r="E92" s="1065"/>
      <c r="F92" s="1065"/>
      <c r="G92" s="1065"/>
      <c r="H92" s="1065"/>
      <c r="I92" s="1065"/>
      <c r="J92" s="1065"/>
      <c r="K92" s="1065"/>
      <c r="L92" s="1065"/>
      <c r="M92" s="1065"/>
      <c r="N92" s="1065"/>
      <c r="O92" s="1065"/>
      <c r="P92" s="1065"/>
      <c r="Q92" s="1065"/>
      <c r="R92" s="1065"/>
      <c r="S92" s="1065"/>
      <c r="T92" s="1065"/>
      <c r="U92" s="1065"/>
      <c r="V92" s="1065"/>
      <c r="W92" s="1065"/>
      <c r="X92" s="1065"/>
      <c r="Y92" s="1065"/>
      <c r="Z92" s="1065"/>
      <c r="AA92" s="1065"/>
      <c r="AB92" s="1065"/>
      <c r="AC92" s="1065"/>
      <c r="AD92" s="1065"/>
      <c r="AE92" s="1065"/>
      <c r="AF92" s="1065"/>
      <c r="AG92" s="1065"/>
      <c r="AH92" s="1065"/>
      <c r="AI92" s="1065"/>
      <c r="AJ92" s="1065"/>
      <c r="AK92" s="1065"/>
      <c r="AL92" s="1065"/>
      <c r="AM92" s="1065"/>
      <c r="AN92" s="1065"/>
      <c r="AO92" s="1065"/>
      <c r="IN92" s="1023"/>
      <c r="IO92" s="1023"/>
      <c r="IP92" s="1023"/>
      <c r="IQ92" s="1023"/>
      <c r="IR92" s="1023"/>
      <c r="IS92" s="1023"/>
      <c r="IT92" s="1023"/>
      <c r="IU92" s="1023"/>
      <c r="IV92" s="1023"/>
    </row>
    <row r="93" spans="1:256" s="1059" customFormat="1" ht="12.75" customHeight="1">
      <c r="A93" s="1055" t="s">
        <v>274</v>
      </c>
      <c r="B93" s="1060" t="s">
        <v>273</v>
      </c>
      <c r="C93" s="1056" t="s">
        <v>159</v>
      </c>
      <c r="D93" s="1065">
        <f>IF('Saisie '!C89="","",'Saisie '!C89)</f>
      </c>
      <c r="E93" s="1065"/>
      <c r="F93" s="1065"/>
      <c r="G93" s="1065"/>
      <c r="H93" s="1065"/>
      <c r="I93" s="1065"/>
      <c r="J93" s="1065"/>
      <c r="K93" s="1065"/>
      <c r="L93" s="1065"/>
      <c r="M93" s="1065"/>
      <c r="N93" s="1065"/>
      <c r="O93" s="1065"/>
      <c r="P93" s="1065"/>
      <c r="Q93" s="1065"/>
      <c r="R93" s="1065"/>
      <c r="S93" s="1065"/>
      <c r="T93" s="1065"/>
      <c r="U93" s="1065"/>
      <c r="V93" s="1065"/>
      <c r="W93" s="1065"/>
      <c r="X93" s="1065"/>
      <c r="Y93" s="1065"/>
      <c r="Z93" s="1065"/>
      <c r="AA93" s="1065"/>
      <c r="AB93" s="1065"/>
      <c r="AC93" s="1065"/>
      <c r="AD93" s="1065"/>
      <c r="AE93" s="1065"/>
      <c r="AF93" s="1065"/>
      <c r="AG93" s="1065"/>
      <c r="AH93" s="1065"/>
      <c r="AI93" s="1065"/>
      <c r="AJ93" s="1065"/>
      <c r="AK93" s="1065"/>
      <c r="AL93" s="1065"/>
      <c r="AM93" s="1065"/>
      <c r="AN93" s="1065"/>
      <c r="AO93" s="1065"/>
      <c r="IN93" s="1023"/>
      <c r="IO93" s="1023"/>
      <c r="IP93" s="1023"/>
      <c r="IQ93" s="1023"/>
      <c r="IR93" s="1023"/>
      <c r="IS93" s="1023"/>
      <c r="IT93" s="1023"/>
      <c r="IU93" s="1023"/>
      <c r="IV93" s="1023"/>
    </row>
    <row r="94" spans="1:256" s="1059" customFormat="1" ht="12.75" customHeight="1">
      <c r="A94" s="1055" t="s">
        <v>277</v>
      </c>
      <c r="B94" s="1060" t="s">
        <v>276</v>
      </c>
      <c r="C94" s="1056" t="s">
        <v>159</v>
      </c>
      <c r="D94" s="1065">
        <f>IF('Saisie '!C90="","",'Saisie '!C90)</f>
      </c>
      <c r="E94" s="1065"/>
      <c r="F94" s="1065"/>
      <c r="G94" s="1065"/>
      <c r="H94" s="1065"/>
      <c r="I94" s="1065"/>
      <c r="J94" s="1065"/>
      <c r="K94" s="1065"/>
      <c r="L94" s="1065"/>
      <c r="M94" s="1065"/>
      <c r="N94" s="1065"/>
      <c r="O94" s="1065"/>
      <c r="P94" s="1065"/>
      <c r="Q94" s="1065"/>
      <c r="R94" s="1065"/>
      <c r="S94" s="1065"/>
      <c r="T94" s="1065"/>
      <c r="U94" s="1065"/>
      <c r="V94" s="1065"/>
      <c r="W94" s="1065"/>
      <c r="X94" s="1065"/>
      <c r="Y94" s="1065"/>
      <c r="Z94" s="1065"/>
      <c r="AA94" s="1065"/>
      <c r="AB94" s="1065"/>
      <c r="AC94" s="1065"/>
      <c r="AD94" s="1065"/>
      <c r="AE94" s="1065"/>
      <c r="AF94" s="1065"/>
      <c r="AG94" s="1065"/>
      <c r="AH94" s="1065"/>
      <c r="AI94" s="1065"/>
      <c r="AJ94" s="1065"/>
      <c r="AK94" s="1065"/>
      <c r="AL94" s="1065"/>
      <c r="AM94" s="1065"/>
      <c r="AN94" s="1065"/>
      <c r="AO94" s="1065"/>
      <c r="IN94" s="1023"/>
      <c r="IO94" s="1023"/>
      <c r="IP94" s="1023"/>
      <c r="IQ94" s="1023"/>
      <c r="IR94" s="1023"/>
      <c r="IS94" s="1023"/>
      <c r="IT94" s="1023"/>
      <c r="IU94" s="1023"/>
      <c r="IV94" s="1023"/>
    </row>
    <row r="95" spans="1:256" s="1059" customFormat="1" ht="12.75" customHeight="1">
      <c r="A95" s="1055" t="s">
        <v>279</v>
      </c>
      <c r="B95" s="1060" t="s">
        <v>278</v>
      </c>
      <c r="C95" s="1056" t="s">
        <v>159</v>
      </c>
      <c r="D95" s="1065">
        <f>IF('Saisie '!C91="","",'Saisie '!C91)</f>
      </c>
      <c r="E95" s="1065"/>
      <c r="F95" s="1065"/>
      <c r="G95" s="1065"/>
      <c r="H95" s="1065"/>
      <c r="I95" s="1065"/>
      <c r="J95" s="1065"/>
      <c r="K95" s="1065"/>
      <c r="L95" s="1065"/>
      <c r="M95" s="1065"/>
      <c r="N95" s="1065"/>
      <c r="O95" s="1065"/>
      <c r="P95" s="1065"/>
      <c r="Q95" s="1065"/>
      <c r="R95" s="1065"/>
      <c r="S95" s="1065"/>
      <c r="T95" s="1065"/>
      <c r="U95" s="1065"/>
      <c r="V95" s="1065"/>
      <c r="W95" s="1065"/>
      <c r="X95" s="1065"/>
      <c r="Y95" s="1065"/>
      <c r="Z95" s="1065"/>
      <c r="AA95" s="1065"/>
      <c r="AB95" s="1065"/>
      <c r="AC95" s="1065"/>
      <c r="AD95" s="1065"/>
      <c r="AE95" s="1065"/>
      <c r="AF95" s="1065"/>
      <c r="AG95" s="1065"/>
      <c r="AH95" s="1065"/>
      <c r="AI95" s="1065"/>
      <c r="AJ95" s="1065"/>
      <c r="AK95" s="1065"/>
      <c r="AL95" s="1065"/>
      <c r="AM95" s="1065"/>
      <c r="AN95" s="1065"/>
      <c r="AO95" s="1065"/>
      <c r="IN95" s="1023"/>
      <c r="IO95" s="1023"/>
      <c r="IP95" s="1023"/>
      <c r="IQ95" s="1023"/>
      <c r="IR95" s="1023"/>
      <c r="IS95" s="1023"/>
      <c r="IT95" s="1023"/>
      <c r="IU95" s="1023"/>
      <c r="IV95" s="1023"/>
    </row>
    <row r="96" spans="1:256" s="1059" customFormat="1" ht="12.75" customHeight="1">
      <c r="A96" s="1055" t="s">
        <v>282</v>
      </c>
      <c r="B96" s="1060" t="s">
        <v>281</v>
      </c>
      <c r="C96" s="1056" t="s">
        <v>159</v>
      </c>
      <c r="D96" s="1065">
        <f>IF('Saisie '!C92="","",'Saisie '!C92)</f>
      </c>
      <c r="E96" s="1065"/>
      <c r="F96" s="1065"/>
      <c r="G96" s="1065"/>
      <c r="H96" s="1065"/>
      <c r="I96" s="1065"/>
      <c r="J96" s="1065"/>
      <c r="K96" s="1065"/>
      <c r="L96" s="1065"/>
      <c r="M96" s="1065"/>
      <c r="N96" s="1065"/>
      <c r="O96" s="1065"/>
      <c r="P96" s="1065"/>
      <c r="Q96" s="1065"/>
      <c r="R96" s="1065"/>
      <c r="S96" s="1065"/>
      <c r="T96" s="1065"/>
      <c r="U96" s="1065"/>
      <c r="V96" s="1065"/>
      <c r="W96" s="1065"/>
      <c r="X96" s="1065"/>
      <c r="Y96" s="1065"/>
      <c r="Z96" s="1065"/>
      <c r="AA96" s="1065"/>
      <c r="AB96" s="1065"/>
      <c r="AC96" s="1065"/>
      <c r="AD96" s="1065"/>
      <c r="AE96" s="1065"/>
      <c r="AF96" s="1065"/>
      <c r="AG96" s="1065"/>
      <c r="AH96" s="1065"/>
      <c r="AI96" s="1065"/>
      <c r="AJ96" s="1065"/>
      <c r="AK96" s="1065"/>
      <c r="AL96" s="1065"/>
      <c r="AM96" s="1065"/>
      <c r="AN96" s="1065"/>
      <c r="AO96" s="1065"/>
      <c r="IN96" s="1023"/>
      <c r="IO96" s="1023"/>
      <c r="IP96" s="1023"/>
      <c r="IQ96" s="1023"/>
      <c r="IR96" s="1023"/>
      <c r="IS96" s="1023"/>
      <c r="IT96" s="1023"/>
      <c r="IU96" s="1023"/>
      <c r="IV96" s="1023"/>
    </row>
    <row r="97" spans="1:256" s="1059" customFormat="1" ht="12.75" customHeight="1">
      <c r="A97" s="1055" t="s">
        <v>285</v>
      </c>
      <c r="B97" s="1060" t="s">
        <v>284</v>
      </c>
      <c r="C97" s="1056" t="s">
        <v>159</v>
      </c>
      <c r="D97" s="1065">
        <f>IF('Saisie '!C93="","",'Saisie '!C93)</f>
      </c>
      <c r="E97" s="1065"/>
      <c r="F97" s="1065"/>
      <c r="G97" s="1065"/>
      <c r="H97" s="1065"/>
      <c r="I97" s="1065"/>
      <c r="J97" s="1065"/>
      <c r="K97" s="1065"/>
      <c r="L97" s="1065"/>
      <c r="M97" s="1065"/>
      <c r="N97" s="1065"/>
      <c r="O97" s="1065"/>
      <c r="P97" s="1065"/>
      <c r="Q97" s="1065"/>
      <c r="R97" s="1065"/>
      <c r="S97" s="1065"/>
      <c r="T97" s="1065"/>
      <c r="U97" s="1065"/>
      <c r="V97" s="1065"/>
      <c r="W97" s="1065"/>
      <c r="X97" s="1065"/>
      <c r="Y97" s="1065"/>
      <c r="Z97" s="1065"/>
      <c r="AA97" s="1065"/>
      <c r="AB97" s="1065"/>
      <c r="AC97" s="1065"/>
      <c r="AD97" s="1065"/>
      <c r="AE97" s="1065"/>
      <c r="AF97" s="1065"/>
      <c r="AG97" s="1065"/>
      <c r="AH97" s="1065"/>
      <c r="AI97" s="1065"/>
      <c r="AJ97" s="1065"/>
      <c r="AK97" s="1065"/>
      <c r="AL97" s="1065"/>
      <c r="AM97" s="1065"/>
      <c r="AN97" s="1065"/>
      <c r="AO97" s="1065"/>
      <c r="IN97" s="1023"/>
      <c r="IO97" s="1023"/>
      <c r="IP97" s="1023"/>
      <c r="IQ97" s="1023"/>
      <c r="IR97" s="1023"/>
      <c r="IS97" s="1023"/>
      <c r="IT97" s="1023"/>
      <c r="IU97" s="1023"/>
      <c r="IV97" s="1023"/>
    </row>
    <row r="98" spans="1:256" s="1059" customFormat="1" ht="12.75" customHeight="1">
      <c r="A98" s="1055" t="s">
        <v>289</v>
      </c>
      <c r="B98" s="1060" t="s">
        <v>288</v>
      </c>
      <c r="C98" s="1056" t="s">
        <v>159</v>
      </c>
      <c r="D98" s="1065">
        <f>IF('Saisie '!C94="","",'Saisie '!C94)</f>
      </c>
      <c r="E98" s="1065"/>
      <c r="F98" s="1065"/>
      <c r="G98" s="1065"/>
      <c r="H98" s="1065"/>
      <c r="I98" s="1065"/>
      <c r="J98" s="1065"/>
      <c r="K98" s="1065"/>
      <c r="L98" s="1065"/>
      <c r="M98" s="1065"/>
      <c r="N98" s="1065"/>
      <c r="O98" s="1065"/>
      <c r="P98" s="1065"/>
      <c r="Q98" s="1065"/>
      <c r="R98" s="1065"/>
      <c r="S98" s="1065"/>
      <c r="T98" s="1065"/>
      <c r="U98" s="1065"/>
      <c r="V98" s="1065"/>
      <c r="W98" s="1065"/>
      <c r="X98" s="1065"/>
      <c r="Y98" s="1065"/>
      <c r="Z98" s="1065"/>
      <c r="AA98" s="1065"/>
      <c r="AB98" s="1065"/>
      <c r="AC98" s="1065"/>
      <c r="AD98" s="1065"/>
      <c r="AE98" s="1065"/>
      <c r="AF98" s="1065"/>
      <c r="AG98" s="1065"/>
      <c r="AH98" s="1065"/>
      <c r="AI98" s="1065"/>
      <c r="AJ98" s="1065"/>
      <c r="AK98" s="1065"/>
      <c r="AL98" s="1065"/>
      <c r="AM98" s="1065"/>
      <c r="AN98" s="1065"/>
      <c r="AO98" s="1065"/>
      <c r="IN98" s="1023"/>
      <c r="IO98" s="1023"/>
      <c r="IP98" s="1023"/>
      <c r="IQ98" s="1023"/>
      <c r="IR98" s="1023"/>
      <c r="IS98" s="1023"/>
      <c r="IT98" s="1023"/>
      <c r="IU98" s="1023"/>
      <c r="IV98" s="1023"/>
    </row>
    <row r="99" spans="1:256" s="1059" customFormat="1" ht="12.75" customHeight="1">
      <c r="A99" s="1055" t="s">
        <v>293</v>
      </c>
      <c r="B99" s="1060" t="s">
        <v>292</v>
      </c>
      <c r="C99" s="1056" t="s">
        <v>159</v>
      </c>
      <c r="D99" s="1065">
        <f>IF('Saisie '!C95="","",'Saisie '!C95)</f>
      </c>
      <c r="E99" s="1065"/>
      <c r="F99" s="1065"/>
      <c r="G99" s="1065"/>
      <c r="H99" s="1065"/>
      <c r="I99" s="1065"/>
      <c r="J99" s="1065"/>
      <c r="K99" s="1065"/>
      <c r="L99" s="1065"/>
      <c r="M99" s="1065"/>
      <c r="N99" s="1065"/>
      <c r="O99" s="1065"/>
      <c r="P99" s="1065"/>
      <c r="Q99" s="1065"/>
      <c r="R99" s="1065"/>
      <c r="S99" s="1065"/>
      <c r="T99" s="1065"/>
      <c r="U99" s="1065"/>
      <c r="V99" s="1065"/>
      <c r="W99" s="1065"/>
      <c r="X99" s="1065"/>
      <c r="Y99" s="1065"/>
      <c r="Z99" s="1065"/>
      <c r="AA99" s="1065"/>
      <c r="AB99" s="1065"/>
      <c r="AC99" s="1065"/>
      <c r="AD99" s="1065"/>
      <c r="AE99" s="1065"/>
      <c r="AF99" s="1065"/>
      <c r="AG99" s="1065"/>
      <c r="AH99" s="1065"/>
      <c r="AI99" s="1065"/>
      <c r="AJ99" s="1065"/>
      <c r="AK99" s="1065"/>
      <c r="AL99" s="1065"/>
      <c r="AM99" s="1065"/>
      <c r="AN99" s="1065"/>
      <c r="AO99" s="1065"/>
      <c r="IN99" s="1023"/>
      <c r="IO99" s="1023"/>
      <c r="IP99" s="1023"/>
      <c r="IQ99" s="1023"/>
      <c r="IR99" s="1023"/>
      <c r="IS99" s="1023"/>
      <c r="IT99" s="1023"/>
      <c r="IU99" s="1023"/>
      <c r="IV99" s="1023"/>
    </row>
    <row r="100" spans="1:256" s="1059" customFormat="1" ht="12.75" customHeight="1">
      <c r="A100" s="1055" t="s">
        <v>297</v>
      </c>
      <c r="B100" s="1060" t="s">
        <v>296</v>
      </c>
      <c r="C100" s="1056" t="s">
        <v>159</v>
      </c>
      <c r="D100" s="1065">
        <f>IF('Saisie '!C96="","",'Saisie '!C96)</f>
      </c>
      <c r="E100" s="1065"/>
      <c r="F100" s="1065"/>
      <c r="G100" s="1065"/>
      <c r="H100" s="1065"/>
      <c r="I100" s="1065"/>
      <c r="J100" s="1065"/>
      <c r="K100" s="1065"/>
      <c r="L100" s="1065"/>
      <c r="M100" s="1065"/>
      <c r="N100" s="1065"/>
      <c r="O100" s="1065"/>
      <c r="P100" s="1065"/>
      <c r="Q100" s="1065"/>
      <c r="R100" s="1065"/>
      <c r="S100" s="1065"/>
      <c r="T100" s="1065"/>
      <c r="U100" s="1065"/>
      <c r="V100" s="1065"/>
      <c r="W100" s="1065"/>
      <c r="X100" s="1065"/>
      <c r="Y100" s="1065"/>
      <c r="Z100" s="1065"/>
      <c r="AA100" s="1065"/>
      <c r="AB100" s="1065"/>
      <c r="AC100" s="1065"/>
      <c r="AD100" s="1065"/>
      <c r="AE100" s="1065"/>
      <c r="AF100" s="1065"/>
      <c r="AG100" s="1065"/>
      <c r="AH100" s="1065"/>
      <c r="AI100" s="1065"/>
      <c r="AJ100" s="1065"/>
      <c r="AK100" s="1065"/>
      <c r="AL100" s="1065"/>
      <c r="AM100" s="1065"/>
      <c r="AN100" s="1065"/>
      <c r="AO100" s="1065"/>
      <c r="IN100" s="1023"/>
      <c r="IO100" s="1023"/>
      <c r="IP100" s="1023"/>
      <c r="IQ100" s="1023"/>
      <c r="IR100" s="1023"/>
      <c r="IS100" s="1023"/>
      <c r="IT100" s="1023"/>
      <c r="IU100" s="1023"/>
      <c r="IV100" s="1023"/>
    </row>
    <row r="101" spans="1:256" s="1059" customFormat="1" ht="12.75" customHeight="1">
      <c r="A101" s="1055" t="s">
        <v>301</v>
      </c>
      <c r="B101" s="1060" t="s">
        <v>300</v>
      </c>
      <c r="C101" s="1056" t="s">
        <v>159</v>
      </c>
      <c r="D101" s="1065">
        <f>IF('Saisie '!C97="","",'Saisie '!C97)</f>
      </c>
      <c r="E101" s="1065"/>
      <c r="F101" s="1065"/>
      <c r="G101" s="1065"/>
      <c r="H101" s="1065"/>
      <c r="I101" s="1065"/>
      <c r="J101" s="1065"/>
      <c r="K101" s="1065"/>
      <c r="L101" s="1065"/>
      <c r="M101" s="1065"/>
      <c r="N101" s="1065"/>
      <c r="O101" s="1065"/>
      <c r="P101" s="1065"/>
      <c r="Q101" s="1065"/>
      <c r="R101" s="1065"/>
      <c r="S101" s="1065"/>
      <c r="T101" s="1065"/>
      <c r="U101" s="1065"/>
      <c r="V101" s="1065"/>
      <c r="W101" s="1065"/>
      <c r="X101" s="1065"/>
      <c r="Y101" s="1065"/>
      <c r="Z101" s="1065"/>
      <c r="AA101" s="1065"/>
      <c r="AB101" s="1065"/>
      <c r="AC101" s="1065"/>
      <c r="AD101" s="1065"/>
      <c r="AE101" s="1065"/>
      <c r="AF101" s="1065"/>
      <c r="AG101" s="1065"/>
      <c r="AH101" s="1065"/>
      <c r="AI101" s="1065"/>
      <c r="AJ101" s="1065"/>
      <c r="AK101" s="1065"/>
      <c r="AL101" s="1065"/>
      <c r="AM101" s="1065"/>
      <c r="AN101" s="1065"/>
      <c r="AO101" s="1065"/>
      <c r="IN101" s="1023"/>
      <c r="IO101" s="1023"/>
      <c r="IP101" s="1023"/>
      <c r="IQ101" s="1023"/>
      <c r="IR101" s="1023"/>
      <c r="IS101" s="1023"/>
      <c r="IT101" s="1023"/>
      <c r="IU101" s="1023"/>
      <c r="IV101" s="1023"/>
    </row>
    <row r="102" spans="1:256" s="1059" customFormat="1" ht="12.75" customHeight="1">
      <c r="A102" s="1055" t="s">
        <v>305</v>
      </c>
      <c r="B102" s="1060" t="s">
        <v>304</v>
      </c>
      <c r="C102" s="1056" t="s">
        <v>159</v>
      </c>
      <c r="D102" s="1065">
        <f>IF('Saisie '!C98="","",'Saisie '!C98)</f>
      </c>
      <c r="E102" s="1065"/>
      <c r="F102" s="1065"/>
      <c r="G102" s="1065"/>
      <c r="H102" s="1065"/>
      <c r="I102" s="1065"/>
      <c r="J102" s="1065"/>
      <c r="K102" s="1065"/>
      <c r="L102" s="1065"/>
      <c r="M102" s="1065"/>
      <c r="N102" s="1065"/>
      <c r="O102" s="1065"/>
      <c r="P102" s="1065"/>
      <c r="Q102" s="1065"/>
      <c r="R102" s="1065"/>
      <c r="S102" s="1065"/>
      <c r="T102" s="1065"/>
      <c r="U102" s="1065"/>
      <c r="V102" s="1065"/>
      <c r="W102" s="1065"/>
      <c r="X102" s="1065"/>
      <c r="Y102" s="1065"/>
      <c r="Z102" s="1065"/>
      <c r="AA102" s="1065"/>
      <c r="AB102" s="1065"/>
      <c r="AC102" s="1065"/>
      <c r="AD102" s="1065"/>
      <c r="AE102" s="1065"/>
      <c r="AF102" s="1065"/>
      <c r="AG102" s="1065"/>
      <c r="AH102" s="1065"/>
      <c r="AI102" s="1065"/>
      <c r="AJ102" s="1065"/>
      <c r="AK102" s="1065"/>
      <c r="AL102" s="1065"/>
      <c r="AM102" s="1065"/>
      <c r="AN102" s="1065"/>
      <c r="AO102" s="1065"/>
      <c r="IN102" s="1023"/>
      <c r="IO102" s="1023"/>
      <c r="IP102" s="1023"/>
      <c r="IQ102" s="1023"/>
      <c r="IR102" s="1023"/>
      <c r="IS102" s="1023"/>
      <c r="IT102" s="1023"/>
      <c r="IU102" s="1023"/>
      <c r="IV102" s="1023"/>
    </row>
    <row r="103" spans="1:256" s="1059" customFormat="1" ht="12.75" customHeight="1">
      <c r="A103" s="1055" t="s">
        <v>309</v>
      </c>
      <c r="B103" s="1060" t="s">
        <v>308</v>
      </c>
      <c r="C103" s="1056" t="s">
        <v>159</v>
      </c>
      <c r="D103" s="1065">
        <f>IF('Saisie '!C99="","",'Saisie '!C99)</f>
      </c>
      <c r="E103" s="1065"/>
      <c r="F103" s="1065"/>
      <c r="G103" s="1065"/>
      <c r="H103" s="1065"/>
      <c r="I103" s="1065"/>
      <c r="J103" s="1065"/>
      <c r="K103" s="1065"/>
      <c r="L103" s="1065"/>
      <c r="M103" s="1065"/>
      <c r="N103" s="1065"/>
      <c r="O103" s="1065"/>
      <c r="P103" s="1065"/>
      <c r="Q103" s="1065"/>
      <c r="R103" s="1065"/>
      <c r="S103" s="1065"/>
      <c r="T103" s="1065"/>
      <c r="U103" s="1065"/>
      <c r="V103" s="1065"/>
      <c r="W103" s="1065"/>
      <c r="X103" s="1065"/>
      <c r="Y103" s="1065"/>
      <c r="Z103" s="1065"/>
      <c r="AA103" s="1065"/>
      <c r="AB103" s="1065"/>
      <c r="AC103" s="1065"/>
      <c r="AD103" s="1065"/>
      <c r="AE103" s="1065"/>
      <c r="AF103" s="1065"/>
      <c r="AG103" s="1065"/>
      <c r="AH103" s="1065"/>
      <c r="AI103" s="1065"/>
      <c r="AJ103" s="1065"/>
      <c r="AK103" s="1065"/>
      <c r="AL103" s="1065"/>
      <c r="AM103" s="1065"/>
      <c r="AN103" s="1065"/>
      <c r="AO103" s="1065"/>
      <c r="IN103" s="1023"/>
      <c r="IO103" s="1023"/>
      <c r="IP103" s="1023"/>
      <c r="IQ103" s="1023"/>
      <c r="IR103" s="1023"/>
      <c r="IS103" s="1023"/>
      <c r="IT103" s="1023"/>
      <c r="IU103" s="1023"/>
      <c r="IV103" s="1023"/>
    </row>
    <row r="104" spans="1:256" s="1059" customFormat="1" ht="12.75" customHeight="1">
      <c r="A104" s="1055" t="s">
        <v>313</v>
      </c>
      <c r="B104" s="1060" t="s">
        <v>312</v>
      </c>
      <c r="C104" s="1056" t="s">
        <v>159</v>
      </c>
      <c r="D104" s="1065">
        <f>IF('Saisie '!C100="","",'Saisie '!C100)</f>
      </c>
      <c r="E104" s="1065"/>
      <c r="F104" s="1065"/>
      <c r="G104" s="1065"/>
      <c r="H104" s="1065"/>
      <c r="I104" s="1065"/>
      <c r="J104" s="1065"/>
      <c r="K104" s="1065"/>
      <c r="L104" s="1065"/>
      <c r="M104" s="1065"/>
      <c r="N104" s="1065"/>
      <c r="O104" s="1065"/>
      <c r="P104" s="1065"/>
      <c r="Q104" s="1065"/>
      <c r="R104" s="1065"/>
      <c r="S104" s="1065"/>
      <c r="T104" s="1065"/>
      <c r="U104" s="1065"/>
      <c r="V104" s="1065"/>
      <c r="W104" s="1065"/>
      <c r="X104" s="1065"/>
      <c r="Y104" s="1065"/>
      <c r="Z104" s="1065"/>
      <c r="AA104" s="1065"/>
      <c r="AB104" s="1065"/>
      <c r="AC104" s="1065"/>
      <c r="AD104" s="1065"/>
      <c r="AE104" s="1065"/>
      <c r="AF104" s="1065"/>
      <c r="AG104" s="1065"/>
      <c r="AH104" s="1065"/>
      <c r="AI104" s="1065"/>
      <c r="AJ104" s="1065"/>
      <c r="AK104" s="1065"/>
      <c r="AL104" s="1065"/>
      <c r="AM104" s="1065"/>
      <c r="AN104" s="1065"/>
      <c r="AO104" s="1065"/>
      <c r="IN104" s="1023"/>
      <c r="IO104" s="1023"/>
      <c r="IP104" s="1023"/>
      <c r="IQ104" s="1023"/>
      <c r="IR104" s="1023"/>
      <c r="IS104" s="1023"/>
      <c r="IT104" s="1023"/>
      <c r="IU104" s="1023"/>
      <c r="IV104" s="1023"/>
    </row>
    <row r="105" spans="1:256" s="1059" customFormat="1" ht="12.75" customHeight="1">
      <c r="A105" s="1055" t="s">
        <v>316</v>
      </c>
      <c r="B105" s="1060" t="s">
        <v>315</v>
      </c>
      <c r="C105" s="1056" t="s">
        <v>159</v>
      </c>
      <c r="D105" s="1065">
        <f>IF('Saisie '!C101="","",'Saisie '!C101)</f>
      </c>
      <c r="E105" s="1065"/>
      <c r="F105" s="1065"/>
      <c r="G105" s="1065"/>
      <c r="H105" s="1065"/>
      <c r="I105" s="1065"/>
      <c r="J105" s="1065"/>
      <c r="K105" s="1065"/>
      <c r="L105" s="1065"/>
      <c r="M105" s="1065"/>
      <c r="N105" s="1065"/>
      <c r="O105" s="1065"/>
      <c r="P105" s="1065"/>
      <c r="Q105" s="1065"/>
      <c r="R105" s="1065"/>
      <c r="S105" s="1065"/>
      <c r="T105" s="1065"/>
      <c r="U105" s="1065"/>
      <c r="V105" s="1065"/>
      <c r="W105" s="1065"/>
      <c r="X105" s="1065"/>
      <c r="Y105" s="1065"/>
      <c r="Z105" s="1065"/>
      <c r="AA105" s="1065"/>
      <c r="AB105" s="1065"/>
      <c r="AC105" s="1065"/>
      <c r="AD105" s="1065"/>
      <c r="AE105" s="1065"/>
      <c r="AF105" s="1065"/>
      <c r="AG105" s="1065"/>
      <c r="AH105" s="1065"/>
      <c r="AI105" s="1065"/>
      <c r="AJ105" s="1065"/>
      <c r="AK105" s="1065"/>
      <c r="AL105" s="1065"/>
      <c r="AM105" s="1065"/>
      <c r="AN105" s="1065"/>
      <c r="AO105" s="1065"/>
      <c r="IN105" s="1023"/>
      <c r="IO105" s="1023"/>
      <c r="IP105" s="1023"/>
      <c r="IQ105" s="1023"/>
      <c r="IR105" s="1023"/>
      <c r="IS105" s="1023"/>
      <c r="IT105" s="1023"/>
      <c r="IU105" s="1023"/>
      <c r="IV105" s="1023"/>
    </row>
    <row r="106" spans="1:256" s="1059" customFormat="1" ht="12.75" customHeight="1">
      <c r="A106" s="1055" t="s">
        <v>320</v>
      </c>
      <c r="B106" s="1060" t="s">
        <v>319</v>
      </c>
      <c r="C106" s="1056" t="s">
        <v>159</v>
      </c>
      <c r="D106" s="1065">
        <f>IF('Saisie '!C102="","",'Saisie '!C102)</f>
      </c>
      <c r="E106" s="1065"/>
      <c r="F106" s="1065"/>
      <c r="G106" s="1065"/>
      <c r="H106" s="1065"/>
      <c r="I106" s="1065"/>
      <c r="J106" s="1065"/>
      <c r="K106" s="1065"/>
      <c r="L106" s="1065"/>
      <c r="M106" s="1065"/>
      <c r="N106" s="1065"/>
      <c r="O106" s="1065"/>
      <c r="P106" s="1065"/>
      <c r="Q106" s="1065"/>
      <c r="R106" s="1065"/>
      <c r="S106" s="1065"/>
      <c r="T106" s="1065"/>
      <c r="U106" s="1065"/>
      <c r="V106" s="1065"/>
      <c r="W106" s="1065"/>
      <c r="X106" s="1065"/>
      <c r="Y106" s="1065"/>
      <c r="Z106" s="1065"/>
      <c r="AA106" s="1065"/>
      <c r="AB106" s="1065"/>
      <c r="AC106" s="1065"/>
      <c r="AD106" s="1065"/>
      <c r="AE106" s="1065"/>
      <c r="AF106" s="1065"/>
      <c r="AG106" s="1065"/>
      <c r="AH106" s="1065"/>
      <c r="AI106" s="1065"/>
      <c r="AJ106" s="1065"/>
      <c r="AK106" s="1065"/>
      <c r="AL106" s="1065"/>
      <c r="AM106" s="1065"/>
      <c r="AN106" s="1065"/>
      <c r="AO106" s="1065"/>
      <c r="IN106" s="1023"/>
      <c r="IO106" s="1023"/>
      <c r="IP106" s="1023"/>
      <c r="IQ106" s="1023"/>
      <c r="IR106" s="1023"/>
      <c r="IS106" s="1023"/>
      <c r="IT106" s="1023"/>
      <c r="IU106" s="1023"/>
      <c r="IV106" s="1023"/>
    </row>
    <row r="107" spans="1:256" s="1059" customFormat="1" ht="12.75" customHeight="1">
      <c r="A107" s="1055" t="s">
        <v>324</v>
      </c>
      <c r="B107" s="1060" t="s">
        <v>785</v>
      </c>
      <c r="C107" s="1056" t="s">
        <v>159</v>
      </c>
      <c r="D107" s="1065">
        <f>IF('Saisie '!C103="","",'Saisie '!C103)</f>
      </c>
      <c r="E107" s="1065"/>
      <c r="F107" s="1065"/>
      <c r="G107" s="1065"/>
      <c r="H107" s="1065"/>
      <c r="I107" s="1065"/>
      <c r="J107" s="1065"/>
      <c r="K107" s="1065"/>
      <c r="L107" s="1065"/>
      <c r="M107" s="1065"/>
      <c r="N107" s="1065"/>
      <c r="O107" s="1065"/>
      <c r="P107" s="1065"/>
      <c r="Q107" s="1065"/>
      <c r="R107" s="1065"/>
      <c r="S107" s="1065"/>
      <c r="T107" s="1065"/>
      <c r="U107" s="1065"/>
      <c r="V107" s="1065"/>
      <c r="W107" s="1065"/>
      <c r="X107" s="1065"/>
      <c r="Y107" s="1065"/>
      <c r="Z107" s="1065"/>
      <c r="AA107" s="1065"/>
      <c r="AB107" s="1065"/>
      <c r="AC107" s="1065"/>
      <c r="AD107" s="1065"/>
      <c r="AE107" s="1065"/>
      <c r="AF107" s="1065"/>
      <c r="AG107" s="1065"/>
      <c r="AH107" s="1065"/>
      <c r="AI107" s="1065"/>
      <c r="AJ107" s="1065"/>
      <c r="AK107" s="1065"/>
      <c r="AL107" s="1065"/>
      <c r="AM107" s="1065"/>
      <c r="AN107" s="1065"/>
      <c r="AO107" s="1065"/>
      <c r="IN107" s="1023"/>
      <c r="IO107" s="1023"/>
      <c r="IP107" s="1023"/>
      <c r="IQ107" s="1023"/>
      <c r="IR107" s="1023"/>
      <c r="IS107" s="1023"/>
      <c r="IT107" s="1023"/>
      <c r="IU107" s="1023"/>
      <c r="IV107" s="1023"/>
    </row>
    <row r="108" spans="1:256" s="1059" customFormat="1" ht="12.75" customHeight="1">
      <c r="A108" s="1055" t="s">
        <v>328</v>
      </c>
      <c r="B108" s="1060" t="s">
        <v>327</v>
      </c>
      <c r="C108" s="1056" t="s">
        <v>159</v>
      </c>
      <c r="D108" s="1065">
        <f>IF('Saisie '!C104="","",'Saisie '!C104)</f>
      </c>
      <c r="E108" s="1065"/>
      <c r="F108" s="1065"/>
      <c r="G108" s="1065"/>
      <c r="H108" s="1065"/>
      <c r="I108" s="1065"/>
      <c r="J108" s="1065"/>
      <c r="K108" s="1065"/>
      <c r="L108" s="1065"/>
      <c r="M108" s="1065"/>
      <c r="N108" s="1065"/>
      <c r="O108" s="1065"/>
      <c r="P108" s="1065"/>
      <c r="Q108" s="1065"/>
      <c r="R108" s="1065"/>
      <c r="S108" s="1065"/>
      <c r="T108" s="1065"/>
      <c r="U108" s="1065"/>
      <c r="V108" s="1065"/>
      <c r="W108" s="1065"/>
      <c r="X108" s="1065"/>
      <c r="Y108" s="1065"/>
      <c r="Z108" s="1065"/>
      <c r="AA108" s="1065"/>
      <c r="AB108" s="1065"/>
      <c r="AC108" s="1065"/>
      <c r="AD108" s="1065"/>
      <c r="AE108" s="1065"/>
      <c r="AF108" s="1065"/>
      <c r="AG108" s="1065"/>
      <c r="AH108" s="1065"/>
      <c r="AI108" s="1065"/>
      <c r="AJ108" s="1065"/>
      <c r="AK108" s="1065"/>
      <c r="AL108" s="1065"/>
      <c r="AM108" s="1065"/>
      <c r="AN108" s="1065"/>
      <c r="AO108" s="1065"/>
      <c r="IN108" s="1023"/>
      <c r="IO108" s="1023"/>
      <c r="IP108" s="1023"/>
      <c r="IQ108" s="1023"/>
      <c r="IR108" s="1023"/>
      <c r="IS108" s="1023"/>
      <c r="IT108" s="1023"/>
      <c r="IU108" s="1023"/>
      <c r="IV108" s="1023"/>
    </row>
    <row r="109" spans="1:256" s="1059" customFormat="1" ht="12.75" customHeight="1">
      <c r="A109" s="1055"/>
      <c r="B109" s="1060"/>
      <c r="C109" s="1056"/>
      <c r="D109" s="1064"/>
      <c r="E109" s="1064"/>
      <c r="F109" s="1064"/>
      <c r="G109" s="1064"/>
      <c r="H109" s="1064"/>
      <c r="I109" s="1064"/>
      <c r="J109" s="1064"/>
      <c r="K109" s="1064"/>
      <c r="L109" s="1064"/>
      <c r="M109" s="1064"/>
      <c r="N109" s="1064"/>
      <c r="O109" s="1064"/>
      <c r="P109" s="1064"/>
      <c r="Q109" s="1064"/>
      <c r="R109" s="1064"/>
      <c r="S109" s="1064"/>
      <c r="T109" s="1064"/>
      <c r="U109" s="1064"/>
      <c r="V109" s="1064"/>
      <c r="W109" s="1064"/>
      <c r="X109" s="1064"/>
      <c r="Y109" s="1064"/>
      <c r="Z109" s="1064"/>
      <c r="AA109" s="1064"/>
      <c r="AB109" s="1064"/>
      <c r="AC109" s="1064"/>
      <c r="AD109" s="1064"/>
      <c r="AE109" s="1064"/>
      <c r="AF109" s="1064"/>
      <c r="AG109" s="1064"/>
      <c r="AH109" s="1064"/>
      <c r="AI109" s="1064"/>
      <c r="AJ109" s="1064"/>
      <c r="AK109" s="1064"/>
      <c r="AL109" s="1064"/>
      <c r="AM109" s="1064"/>
      <c r="AN109" s="1064"/>
      <c r="AO109" s="1064"/>
      <c r="IN109" s="1023"/>
      <c r="IO109" s="1023"/>
      <c r="IP109" s="1023"/>
      <c r="IQ109" s="1023"/>
      <c r="IR109" s="1023"/>
      <c r="IS109" s="1023"/>
      <c r="IT109" s="1023"/>
      <c r="IU109" s="1023"/>
      <c r="IV109" s="1023"/>
    </row>
    <row r="110" spans="1:256" s="1059" customFormat="1" ht="12.75" customHeight="1">
      <c r="A110" s="1076" t="s">
        <v>331</v>
      </c>
      <c r="B110" s="1077"/>
      <c r="C110" s="1078"/>
      <c r="D110" s="1064"/>
      <c r="E110" s="1064"/>
      <c r="F110" s="1064"/>
      <c r="G110" s="1064"/>
      <c r="H110" s="1064"/>
      <c r="I110" s="1064"/>
      <c r="J110" s="1064"/>
      <c r="K110" s="1064"/>
      <c r="L110" s="1064"/>
      <c r="M110" s="1064"/>
      <c r="N110" s="1064"/>
      <c r="O110" s="1064"/>
      <c r="P110" s="1064"/>
      <c r="Q110" s="1064"/>
      <c r="R110" s="1064"/>
      <c r="S110" s="1064"/>
      <c r="T110" s="1064"/>
      <c r="U110" s="1064"/>
      <c r="V110" s="1064"/>
      <c r="W110" s="1064"/>
      <c r="X110" s="1064"/>
      <c r="Y110" s="1064"/>
      <c r="Z110" s="1064"/>
      <c r="AA110" s="1064"/>
      <c r="AB110" s="1064"/>
      <c r="AC110" s="1064"/>
      <c r="AD110" s="1064"/>
      <c r="AE110" s="1064"/>
      <c r="AF110" s="1064"/>
      <c r="AG110" s="1064"/>
      <c r="AH110" s="1064"/>
      <c r="AI110" s="1064"/>
      <c r="AJ110" s="1064"/>
      <c r="AK110" s="1064"/>
      <c r="AL110" s="1064"/>
      <c r="AM110" s="1064"/>
      <c r="AN110" s="1064"/>
      <c r="AO110" s="1064"/>
      <c r="IN110" s="1023"/>
      <c r="IO110" s="1023"/>
      <c r="IP110" s="1023"/>
      <c r="IQ110" s="1023"/>
      <c r="IR110" s="1023"/>
      <c r="IS110" s="1023"/>
      <c r="IT110" s="1023"/>
      <c r="IU110" s="1023"/>
      <c r="IV110" s="1023"/>
    </row>
    <row r="111" spans="1:256" s="1059" customFormat="1" ht="12.75" customHeight="1">
      <c r="A111" s="1055" t="s">
        <v>333</v>
      </c>
      <c r="B111" s="1060" t="s">
        <v>332</v>
      </c>
      <c r="C111" s="1056" t="s">
        <v>159</v>
      </c>
      <c r="D111" s="1064">
        <f>IF('Saisie '!C107="","",'Saisie '!C107)</f>
      </c>
      <c r="E111" s="1064"/>
      <c r="F111" s="1064"/>
      <c r="G111" s="1064"/>
      <c r="H111" s="1064"/>
      <c r="I111" s="1064"/>
      <c r="J111" s="1064"/>
      <c r="K111" s="1064"/>
      <c r="L111" s="1064"/>
      <c r="M111" s="1064"/>
      <c r="N111" s="1064"/>
      <c r="O111" s="1064"/>
      <c r="P111" s="1064"/>
      <c r="Q111" s="1064"/>
      <c r="R111" s="1064"/>
      <c r="S111" s="1064"/>
      <c r="T111" s="1064"/>
      <c r="U111" s="1064"/>
      <c r="V111" s="1064"/>
      <c r="W111" s="1064"/>
      <c r="X111" s="1064"/>
      <c r="Y111" s="1064"/>
      <c r="Z111" s="1064"/>
      <c r="AA111" s="1064"/>
      <c r="AB111" s="1064"/>
      <c r="AC111" s="1064"/>
      <c r="AD111" s="1064"/>
      <c r="AE111" s="1064"/>
      <c r="AF111" s="1064"/>
      <c r="AG111" s="1064"/>
      <c r="AH111" s="1064"/>
      <c r="AI111" s="1064"/>
      <c r="AJ111" s="1064"/>
      <c r="AK111" s="1064"/>
      <c r="AL111" s="1064"/>
      <c r="AM111" s="1064"/>
      <c r="AN111" s="1064"/>
      <c r="AO111" s="1064"/>
      <c r="IN111" s="1023"/>
      <c r="IO111" s="1023"/>
      <c r="IP111" s="1023"/>
      <c r="IQ111" s="1023"/>
      <c r="IR111" s="1023"/>
      <c r="IS111" s="1023"/>
      <c r="IT111" s="1023"/>
      <c r="IU111" s="1023"/>
      <c r="IV111" s="1023"/>
    </row>
    <row r="112" spans="1:256" s="1059" customFormat="1" ht="12.75" customHeight="1">
      <c r="A112" s="1055" t="s">
        <v>335</v>
      </c>
      <c r="B112" s="1060" t="s">
        <v>242</v>
      </c>
      <c r="C112" s="1056" t="s">
        <v>159</v>
      </c>
      <c r="D112" s="1064">
        <f>IF('Saisie '!C108="","",'Saisie '!C108)</f>
      </c>
      <c r="E112" s="1064"/>
      <c r="F112" s="1064"/>
      <c r="G112" s="1064"/>
      <c r="H112" s="1064"/>
      <c r="I112" s="1064"/>
      <c r="J112" s="1064"/>
      <c r="K112" s="1064"/>
      <c r="L112" s="1064"/>
      <c r="M112" s="1064"/>
      <c r="N112" s="1064"/>
      <c r="O112" s="1064"/>
      <c r="P112" s="1064"/>
      <c r="Q112" s="1064"/>
      <c r="R112" s="1064"/>
      <c r="S112" s="1064"/>
      <c r="T112" s="1064"/>
      <c r="U112" s="1064"/>
      <c r="V112" s="1064"/>
      <c r="W112" s="1064"/>
      <c r="X112" s="1064"/>
      <c r="Y112" s="1064"/>
      <c r="Z112" s="1064"/>
      <c r="AA112" s="1064"/>
      <c r="AB112" s="1064"/>
      <c r="AC112" s="1064"/>
      <c r="AD112" s="1064"/>
      <c r="AE112" s="1064"/>
      <c r="AF112" s="1064"/>
      <c r="AG112" s="1064"/>
      <c r="AH112" s="1064"/>
      <c r="AI112" s="1064"/>
      <c r="AJ112" s="1064"/>
      <c r="AK112" s="1064"/>
      <c r="AL112" s="1064"/>
      <c r="AM112" s="1064"/>
      <c r="AN112" s="1064"/>
      <c r="AO112" s="1064"/>
      <c r="IN112" s="1023"/>
      <c r="IO112" s="1023"/>
      <c r="IP112" s="1023"/>
      <c r="IQ112" s="1023"/>
      <c r="IR112" s="1023"/>
      <c r="IS112" s="1023"/>
      <c r="IT112" s="1023"/>
      <c r="IU112" s="1023"/>
      <c r="IV112" s="1023"/>
    </row>
    <row r="113" spans="1:256" s="1059" customFormat="1" ht="12.75" customHeight="1">
      <c r="A113" s="1055" t="s">
        <v>336</v>
      </c>
      <c r="B113" s="1060" t="s">
        <v>247</v>
      </c>
      <c r="C113" s="1056" t="s">
        <v>159</v>
      </c>
      <c r="D113" s="1064">
        <f>IF('Saisie '!C109="","",'Saisie '!C109)</f>
      </c>
      <c r="E113" s="1064"/>
      <c r="F113" s="1064"/>
      <c r="G113" s="1064"/>
      <c r="H113" s="1064"/>
      <c r="I113" s="1064"/>
      <c r="J113" s="1064"/>
      <c r="K113" s="1064"/>
      <c r="L113" s="1064"/>
      <c r="M113" s="1064"/>
      <c r="N113" s="1064"/>
      <c r="O113" s="1064"/>
      <c r="P113" s="1064"/>
      <c r="Q113" s="1064"/>
      <c r="R113" s="1064"/>
      <c r="S113" s="1064"/>
      <c r="T113" s="1064"/>
      <c r="U113" s="1064"/>
      <c r="V113" s="1064"/>
      <c r="W113" s="1064"/>
      <c r="X113" s="1064"/>
      <c r="Y113" s="1064"/>
      <c r="Z113" s="1064"/>
      <c r="AA113" s="1064"/>
      <c r="AB113" s="1064"/>
      <c r="AC113" s="1064"/>
      <c r="AD113" s="1064"/>
      <c r="AE113" s="1064"/>
      <c r="AF113" s="1064"/>
      <c r="AG113" s="1064"/>
      <c r="AH113" s="1064"/>
      <c r="AI113" s="1064"/>
      <c r="AJ113" s="1064"/>
      <c r="AK113" s="1064"/>
      <c r="AL113" s="1064"/>
      <c r="AM113" s="1064"/>
      <c r="AN113" s="1064"/>
      <c r="AO113" s="1064"/>
      <c r="IN113" s="1023"/>
      <c r="IO113" s="1023"/>
      <c r="IP113" s="1023"/>
      <c r="IQ113" s="1023"/>
      <c r="IR113" s="1023"/>
      <c r="IS113" s="1023"/>
      <c r="IT113" s="1023"/>
      <c r="IU113" s="1023"/>
      <c r="IV113" s="1023"/>
    </row>
    <row r="114" spans="1:256" s="1059" customFormat="1" ht="12.75" customHeight="1">
      <c r="A114" s="1055" t="s">
        <v>338</v>
      </c>
      <c r="B114" s="1060" t="s">
        <v>337</v>
      </c>
      <c r="C114" s="1056" t="s">
        <v>159</v>
      </c>
      <c r="D114" s="1064">
        <f>IF('Saisie '!C110="","",'Saisie '!C110)</f>
      </c>
      <c r="E114" s="1064"/>
      <c r="F114" s="1064"/>
      <c r="G114" s="1064"/>
      <c r="H114" s="1064"/>
      <c r="I114" s="1064"/>
      <c r="J114" s="1064"/>
      <c r="K114" s="1064"/>
      <c r="L114" s="1064"/>
      <c r="M114" s="1064"/>
      <c r="N114" s="1064"/>
      <c r="O114" s="1064"/>
      <c r="P114" s="1064"/>
      <c r="Q114" s="1064"/>
      <c r="R114" s="1064"/>
      <c r="S114" s="1064"/>
      <c r="T114" s="1064"/>
      <c r="U114" s="1064"/>
      <c r="V114" s="1064"/>
      <c r="W114" s="1064"/>
      <c r="X114" s="1064"/>
      <c r="Y114" s="1064"/>
      <c r="Z114" s="1064"/>
      <c r="AA114" s="1064"/>
      <c r="AB114" s="1064"/>
      <c r="AC114" s="1064"/>
      <c r="AD114" s="1064"/>
      <c r="AE114" s="1064"/>
      <c r="AF114" s="1064"/>
      <c r="AG114" s="1064"/>
      <c r="AH114" s="1064"/>
      <c r="AI114" s="1064"/>
      <c r="AJ114" s="1064"/>
      <c r="AK114" s="1064"/>
      <c r="AL114" s="1064"/>
      <c r="AM114" s="1064"/>
      <c r="AN114" s="1064"/>
      <c r="AO114" s="1064"/>
      <c r="IN114" s="1023"/>
      <c r="IO114" s="1023"/>
      <c r="IP114" s="1023"/>
      <c r="IQ114" s="1023"/>
      <c r="IR114" s="1023"/>
      <c r="IS114" s="1023"/>
      <c r="IT114" s="1023"/>
      <c r="IU114" s="1023"/>
      <c r="IV114" s="1023"/>
    </row>
    <row r="115" spans="1:256" s="1059" customFormat="1" ht="12.75" customHeight="1">
      <c r="A115" s="1076" t="s">
        <v>786</v>
      </c>
      <c r="B115" s="1077"/>
      <c r="C115" s="1056"/>
      <c r="D115" s="1064"/>
      <c r="E115" s="1064"/>
      <c r="F115" s="1064"/>
      <c r="G115" s="1064"/>
      <c r="H115" s="1064"/>
      <c r="I115" s="1064"/>
      <c r="J115" s="1064"/>
      <c r="K115" s="1064"/>
      <c r="L115" s="1064"/>
      <c r="M115" s="1064"/>
      <c r="N115" s="1064"/>
      <c r="O115" s="1064"/>
      <c r="P115" s="1064"/>
      <c r="Q115" s="1064"/>
      <c r="R115" s="1064"/>
      <c r="S115" s="1064"/>
      <c r="T115" s="1064"/>
      <c r="U115" s="1064"/>
      <c r="V115" s="1064"/>
      <c r="W115" s="1064"/>
      <c r="X115" s="1064"/>
      <c r="Y115" s="1064"/>
      <c r="Z115" s="1064"/>
      <c r="AA115" s="1064"/>
      <c r="AB115" s="1064"/>
      <c r="AC115" s="1064"/>
      <c r="AD115" s="1064"/>
      <c r="AE115" s="1064"/>
      <c r="AF115" s="1064"/>
      <c r="AG115" s="1064"/>
      <c r="AH115" s="1064"/>
      <c r="AI115" s="1064"/>
      <c r="AJ115" s="1064"/>
      <c r="AK115" s="1064"/>
      <c r="AL115" s="1064"/>
      <c r="AM115" s="1064"/>
      <c r="AN115" s="1064"/>
      <c r="AO115" s="1064"/>
      <c r="IN115" s="1023"/>
      <c r="IO115" s="1023"/>
      <c r="IP115" s="1023"/>
      <c r="IQ115" s="1023"/>
      <c r="IR115" s="1023"/>
      <c r="IS115" s="1023"/>
      <c r="IT115" s="1023"/>
      <c r="IU115" s="1023"/>
      <c r="IV115" s="1023"/>
    </row>
    <row r="116" spans="1:256" s="1059" customFormat="1" ht="12.75" customHeight="1">
      <c r="A116" s="1055" t="s">
        <v>340</v>
      </c>
      <c r="B116" s="1060" t="s">
        <v>340</v>
      </c>
      <c r="C116" s="1056" t="s">
        <v>159</v>
      </c>
      <c r="D116" s="1064">
        <f>IF('Saisie '!C112="","",'Saisie '!C112)</f>
      </c>
      <c r="E116" s="1064"/>
      <c r="F116" s="1064"/>
      <c r="G116" s="1064"/>
      <c r="H116" s="1064"/>
      <c r="I116" s="1064"/>
      <c r="J116" s="1064"/>
      <c r="K116" s="1064"/>
      <c r="L116" s="1064"/>
      <c r="M116" s="1064"/>
      <c r="N116" s="1064"/>
      <c r="O116" s="1064"/>
      <c r="P116" s="1064"/>
      <c r="Q116" s="1064"/>
      <c r="R116" s="1064"/>
      <c r="S116" s="1064"/>
      <c r="T116" s="1064"/>
      <c r="U116" s="1064"/>
      <c r="V116" s="1064"/>
      <c r="W116" s="1064"/>
      <c r="X116" s="1064"/>
      <c r="Y116" s="1064"/>
      <c r="Z116" s="1064"/>
      <c r="AA116" s="1064"/>
      <c r="AB116" s="1064"/>
      <c r="AC116" s="1064"/>
      <c r="AD116" s="1064"/>
      <c r="AE116" s="1064"/>
      <c r="AF116" s="1064"/>
      <c r="AG116" s="1064"/>
      <c r="AH116" s="1064"/>
      <c r="AI116" s="1064"/>
      <c r="AJ116" s="1064"/>
      <c r="AK116" s="1064"/>
      <c r="AL116" s="1064"/>
      <c r="AM116" s="1064"/>
      <c r="AN116" s="1064"/>
      <c r="AO116" s="1064"/>
      <c r="IN116" s="1023"/>
      <c r="IO116" s="1023"/>
      <c r="IP116" s="1023"/>
      <c r="IQ116" s="1023"/>
      <c r="IR116" s="1023"/>
      <c r="IS116" s="1023"/>
      <c r="IT116" s="1023"/>
      <c r="IU116" s="1023"/>
      <c r="IV116" s="1023"/>
    </row>
    <row r="117" spans="1:256" s="1059" customFormat="1" ht="12.75" customHeight="1">
      <c r="A117" s="1055" t="s">
        <v>787</v>
      </c>
      <c r="B117" s="1060" t="s">
        <v>342</v>
      </c>
      <c r="C117" s="1056" t="s">
        <v>159</v>
      </c>
      <c r="D117" s="1064">
        <f>IF('Saisie '!C113="","",'Saisie '!C113)</f>
      </c>
      <c r="E117" s="1064"/>
      <c r="F117" s="1064"/>
      <c r="G117" s="1064"/>
      <c r="H117" s="1064"/>
      <c r="I117" s="1064"/>
      <c r="J117" s="1064"/>
      <c r="K117" s="1064"/>
      <c r="L117" s="1064"/>
      <c r="M117" s="1064"/>
      <c r="N117" s="1064"/>
      <c r="O117" s="1064"/>
      <c r="P117" s="1064"/>
      <c r="Q117" s="1064"/>
      <c r="R117" s="1064"/>
      <c r="S117" s="1064"/>
      <c r="T117" s="1064"/>
      <c r="U117" s="1064"/>
      <c r="V117" s="1064"/>
      <c r="W117" s="1064"/>
      <c r="X117" s="1064"/>
      <c r="Y117" s="1064"/>
      <c r="Z117" s="1064"/>
      <c r="AA117" s="1064"/>
      <c r="AB117" s="1064"/>
      <c r="AC117" s="1064"/>
      <c r="AD117" s="1064"/>
      <c r="AE117" s="1064"/>
      <c r="AF117" s="1064"/>
      <c r="AG117" s="1064"/>
      <c r="AH117" s="1064"/>
      <c r="AI117" s="1064"/>
      <c r="AJ117" s="1064"/>
      <c r="AK117" s="1064"/>
      <c r="AL117" s="1064"/>
      <c r="AM117" s="1064"/>
      <c r="AN117" s="1064"/>
      <c r="AO117" s="1064"/>
      <c r="IN117" s="1023"/>
      <c r="IO117" s="1023"/>
      <c r="IP117" s="1023"/>
      <c r="IQ117" s="1023"/>
      <c r="IR117" s="1023"/>
      <c r="IS117" s="1023"/>
      <c r="IT117" s="1023"/>
      <c r="IU117" s="1023"/>
      <c r="IV117" s="1023"/>
    </row>
    <row r="118" spans="1:256" s="1059" customFormat="1" ht="12.75" customHeight="1">
      <c r="A118" s="1042" t="s">
        <v>788</v>
      </c>
      <c r="B118" s="664" t="s">
        <v>346</v>
      </c>
      <c r="C118" s="1056" t="s">
        <v>159</v>
      </c>
      <c r="D118" s="1064">
        <f>IF('Saisie '!C114="",0,'Saisie '!C114)</f>
        <v>0</v>
      </c>
      <c r="E118" s="1064"/>
      <c r="F118" s="1064"/>
      <c r="G118" s="1064"/>
      <c r="H118" s="1064"/>
      <c r="I118" s="1064"/>
      <c r="J118" s="1064"/>
      <c r="K118" s="1064"/>
      <c r="L118" s="1064"/>
      <c r="M118" s="1064"/>
      <c r="N118" s="1064"/>
      <c r="O118" s="1064"/>
      <c r="P118" s="1064"/>
      <c r="Q118" s="1064"/>
      <c r="R118" s="1064"/>
      <c r="S118" s="1064"/>
      <c r="T118" s="1064"/>
      <c r="U118" s="1064"/>
      <c r="V118" s="1064"/>
      <c r="W118" s="1064"/>
      <c r="X118" s="1064"/>
      <c r="Y118" s="1064"/>
      <c r="Z118" s="1064"/>
      <c r="AA118" s="1064"/>
      <c r="AB118" s="1064"/>
      <c r="AC118" s="1064"/>
      <c r="AD118" s="1064"/>
      <c r="AE118" s="1064"/>
      <c r="AF118" s="1064"/>
      <c r="AG118" s="1064"/>
      <c r="AH118" s="1064"/>
      <c r="AI118" s="1064"/>
      <c r="AJ118" s="1064"/>
      <c r="AK118" s="1064"/>
      <c r="AL118" s="1064"/>
      <c r="AM118" s="1064"/>
      <c r="AN118" s="1064"/>
      <c r="AO118" s="1064"/>
      <c r="IN118" s="1023"/>
      <c r="IO118" s="1023"/>
      <c r="IP118" s="1023"/>
      <c r="IQ118" s="1023"/>
      <c r="IR118" s="1023"/>
      <c r="IS118" s="1023"/>
      <c r="IT118" s="1023"/>
      <c r="IU118" s="1023"/>
      <c r="IV118" s="1023"/>
    </row>
    <row r="119" spans="1:256" s="1059" customFormat="1" ht="12.75" customHeight="1">
      <c r="A119" s="1079" t="s">
        <v>789</v>
      </c>
      <c r="B119" s="1080" t="s">
        <v>348</v>
      </c>
      <c r="C119" s="1056" t="s">
        <v>159</v>
      </c>
      <c r="D119" s="1064">
        <f>IF('Saisie '!C115="",0,'Saisie '!C115)</f>
        <v>0</v>
      </c>
      <c r="E119" s="1064"/>
      <c r="F119" s="1064"/>
      <c r="G119" s="1064"/>
      <c r="H119" s="1064"/>
      <c r="I119" s="1064"/>
      <c r="J119" s="1064"/>
      <c r="K119" s="1064"/>
      <c r="L119" s="1064"/>
      <c r="M119" s="1064"/>
      <c r="N119" s="1064"/>
      <c r="O119" s="1064"/>
      <c r="P119" s="1064"/>
      <c r="Q119" s="1064"/>
      <c r="R119" s="1064"/>
      <c r="S119" s="1064"/>
      <c r="T119" s="1064"/>
      <c r="U119" s="1064"/>
      <c r="V119" s="1064"/>
      <c r="W119" s="1064"/>
      <c r="X119" s="1064"/>
      <c r="Y119" s="1064"/>
      <c r="Z119" s="1064"/>
      <c r="AA119" s="1064"/>
      <c r="AB119" s="1064"/>
      <c r="AC119" s="1064"/>
      <c r="AD119" s="1064"/>
      <c r="AE119" s="1064"/>
      <c r="AF119" s="1064"/>
      <c r="AG119" s="1064"/>
      <c r="AH119" s="1064"/>
      <c r="AI119" s="1064"/>
      <c r="AJ119" s="1064"/>
      <c r="AK119" s="1064"/>
      <c r="AL119" s="1064"/>
      <c r="AM119" s="1064"/>
      <c r="AN119" s="1064"/>
      <c r="AO119" s="1064"/>
      <c r="IN119" s="1023"/>
      <c r="IO119" s="1023"/>
      <c r="IP119" s="1023"/>
      <c r="IQ119" s="1023"/>
      <c r="IR119" s="1023"/>
      <c r="IS119" s="1023"/>
      <c r="IT119" s="1023"/>
      <c r="IU119" s="1023"/>
      <c r="IV119" s="1023"/>
    </row>
    <row r="120" spans="1:256" s="1059" customFormat="1" ht="12.75" customHeight="1">
      <c r="A120" s="1073" t="s">
        <v>351</v>
      </c>
      <c r="B120" s="1081" t="s">
        <v>350</v>
      </c>
      <c r="C120" s="1072" t="s">
        <v>159</v>
      </c>
      <c r="D120" s="1064">
        <f>IF('Saisie '!C116="",0,'Saisie '!C116)</f>
        <v>0</v>
      </c>
      <c r="E120" s="1064"/>
      <c r="F120" s="1064"/>
      <c r="G120" s="1064"/>
      <c r="H120" s="1064"/>
      <c r="I120" s="1064"/>
      <c r="J120" s="1064"/>
      <c r="K120" s="1064"/>
      <c r="L120" s="1064"/>
      <c r="M120" s="1064"/>
      <c r="N120" s="1064"/>
      <c r="O120" s="1064"/>
      <c r="P120" s="1064"/>
      <c r="Q120" s="1064"/>
      <c r="R120" s="1064"/>
      <c r="S120" s="1064"/>
      <c r="T120" s="1064"/>
      <c r="U120" s="1064"/>
      <c r="V120" s="1064"/>
      <c r="W120" s="1064"/>
      <c r="X120" s="1064"/>
      <c r="Y120" s="1064"/>
      <c r="Z120" s="1064"/>
      <c r="AA120" s="1064"/>
      <c r="AB120" s="1064"/>
      <c r="AC120" s="1064"/>
      <c r="AD120" s="1064"/>
      <c r="AE120" s="1064"/>
      <c r="AF120" s="1064"/>
      <c r="AG120" s="1064"/>
      <c r="AH120" s="1064"/>
      <c r="AI120" s="1064"/>
      <c r="AJ120" s="1064"/>
      <c r="AK120" s="1064"/>
      <c r="AL120" s="1064"/>
      <c r="AM120" s="1064"/>
      <c r="AN120" s="1064"/>
      <c r="AO120" s="1064"/>
      <c r="IN120" s="1023"/>
      <c r="IO120" s="1023"/>
      <c r="IP120" s="1023"/>
      <c r="IQ120" s="1023"/>
      <c r="IR120" s="1023"/>
      <c r="IS120" s="1023"/>
      <c r="IT120" s="1023"/>
      <c r="IU120" s="1023"/>
      <c r="IV120" s="1023"/>
    </row>
    <row r="121" spans="1:256" s="1059" customFormat="1" ht="12.75" customHeight="1">
      <c r="A121" s="1079"/>
      <c r="B121" s="1082"/>
      <c r="C121" s="1056"/>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4"/>
      <c r="AA121" s="1064"/>
      <c r="AB121" s="1064"/>
      <c r="AC121" s="1064"/>
      <c r="AD121" s="1064"/>
      <c r="AE121" s="1064"/>
      <c r="AF121" s="1064"/>
      <c r="AG121" s="1064"/>
      <c r="AH121" s="1064"/>
      <c r="AI121" s="1064"/>
      <c r="AJ121" s="1064"/>
      <c r="AK121" s="1064"/>
      <c r="AL121" s="1064"/>
      <c r="AM121" s="1064"/>
      <c r="AN121" s="1064"/>
      <c r="AO121" s="1064"/>
      <c r="IN121" s="1023"/>
      <c r="IO121" s="1023"/>
      <c r="IP121" s="1023"/>
      <c r="IQ121" s="1023"/>
      <c r="IR121" s="1023"/>
      <c r="IS121" s="1023"/>
      <c r="IT121" s="1023"/>
      <c r="IU121" s="1023"/>
      <c r="IV121" s="1023"/>
    </row>
    <row r="122" spans="1:256" s="1059" customFormat="1" ht="14.25" customHeight="1">
      <c r="A122" s="1037"/>
      <c r="B122" s="1037"/>
      <c r="C122" s="1056"/>
      <c r="D122" s="1064"/>
      <c r="E122" s="1064"/>
      <c r="F122" s="1064"/>
      <c r="G122" s="1064"/>
      <c r="H122" s="1064"/>
      <c r="I122" s="1064"/>
      <c r="J122" s="1064"/>
      <c r="K122" s="1064"/>
      <c r="L122" s="1064"/>
      <c r="M122" s="1064"/>
      <c r="N122" s="1064"/>
      <c r="O122" s="1064"/>
      <c r="P122" s="1064"/>
      <c r="Q122" s="1064"/>
      <c r="R122" s="1064"/>
      <c r="S122" s="1064"/>
      <c r="T122" s="1064"/>
      <c r="U122" s="1064"/>
      <c r="V122" s="1064"/>
      <c r="W122" s="1064"/>
      <c r="X122" s="1064"/>
      <c r="Y122" s="1064"/>
      <c r="Z122" s="1064"/>
      <c r="AA122" s="1064"/>
      <c r="AB122" s="1064"/>
      <c r="AC122" s="1064"/>
      <c r="AD122" s="1064"/>
      <c r="AE122" s="1064"/>
      <c r="AF122" s="1064"/>
      <c r="AG122" s="1064"/>
      <c r="AH122" s="1064"/>
      <c r="AI122" s="1064"/>
      <c r="AJ122" s="1064"/>
      <c r="AK122" s="1064"/>
      <c r="AL122" s="1064"/>
      <c r="AM122" s="1064"/>
      <c r="AN122" s="1064"/>
      <c r="AO122" s="1064"/>
      <c r="AP122" s="1023"/>
      <c r="AQ122" s="1023"/>
      <c r="IN122" s="1023"/>
      <c r="IO122" s="1023"/>
      <c r="IP122" s="1023"/>
      <c r="IQ122" s="1023"/>
      <c r="IR122" s="1023"/>
      <c r="IS122" s="1023"/>
      <c r="IT122" s="1023"/>
      <c r="IU122" s="1023"/>
      <c r="IV122" s="1023"/>
    </row>
    <row r="123" spans="1:256" s="1050" customFormat="1" ht="14.25" customHeight="1">
      <c r="A123" s="1055"/>
      <c r="B123" s="1055"/>
      <c r="C123" s="1056"/>
      <c r="D123" s="1064"/>
      <c r="E123" s="1064"/>
      <c r="F123" s="1064"/>
      <c r="G123" s="1064"/>
      <c r="H123" s="1064"/>
      <c r="I123" s="1064"/>
      <c r="J123" s="1064"/>
      <c r="K123" s="1064"/>
      <c r="L123" s="1064"/>
      <c r="M123" s="1064"/>
      <c r="N123" s="1064"/>
      <c r="O123" s="1064"/>
      <c r="P123" s="1064"/>
      <c r="Q123" s="1064"/>
      <c r="R123" s="1064"/>
      <c r="S123" s="1064"/>
      <c r="T123" s="1064"/>
      <c r="U123" s="1064"/>
      <c r="V123" s="1064"/>
      <c r="W123" s="1064"/>
      <c r="X123" s="1064"/>
      <c r="Y123" s="1064"/>
      <c r="Z123" s="1064"/>
      <c r="AA123" s="1064"/>
      <c r="AB123" s="1064"/>
      <c r="AC123" s="1064"/>
      <c r="AD123" s="1064"/>
      <c r="AE123" s="1064"/>
      <c r="AF123" s="1064"/>
      <c r="AG123" s="1064"/>
      <c r="AH123" s="1064"/>
      <c r="AI123" s="1064"/>
      <c r="AJ123" s="1064"/>
      <c r="AK123" s="1064"/>
      <c r="AL123" s="1064"/>
      <c r="AM123" s="1064"/>
      <c r="AN123" s="1064"/>
      <c r="AO123" s="1064"/>
      <c r="IN123" s="1051"/>
      <c r="IO123" s="1051"/>
      <c r="IP123" s="1051"/>
      <c r="IQ123" s="1051"/>
      <c r="IR123" s="1051"/>
      <c r="IS123" s="1051"/>
      <c r="IT123" s="1051"/>
      <c r="IU123" s="1051"/>
      <c r="IV123" s="1052"/>
    </row>
    <row r="124" spans="1:256" s="1083" customFormat="1" ht="12" customHeight="1" thickBot="1">
      <c r="A124" s="1055"/>
      <c r="B124" s="1055"/>
      <c r="C124" s="1056"/>
      <c r="D124" s="1064"/>
      <c r="E124" s="1064"/>
      <c r="F124" s="1064"/>
      <c r="G124" s="1064"/>
      <c r="H124" s="1064"/>
      <c r="I124" s="1064"/>
      <c r="J124" s="1064"/>
      <c r="K124" s="1064"/>
      <c r="L124" s="1064"/>
      <c r="M124" s="1064"/>
      <c r="N124" s="1064"/>
      <c r="O124" s="1064"/>
      <c r="P124" s="1064"/>
      <c r="Q124" s="1064"/>
      <c r="R124" s="1064"/>
      <c r="S124" s="1064"/>
      <c r="T124" s="1064"/>
      <c r="U124" s="1064"/>
      <c r="V124" s="1064"/>
      <c r="W124" s="1064"/>
      <c r="X124" s="1064"/>
      <c r="Y124" s="1064"/>
      <c r="Z124" s="1064"/>
      <c r="AA124" s="1064"/>
      <c r="AB124" s="1064"/>
      <c r="AC124" s="1064"/>
      <c r="AD124" s="1064"/>
      <c r="AE124" s="1064"/>
      <c r="AF124" s="1064"/>
      <c r="AG124" s="1064"/>
      <c r="AH124" s="1064"/>
      <c r="AI124" s="1064"/>
      <c r="AJ124" s="1064"/>
      <c r="AK124" s="1064"/>
      <c r="AL124" s="1064"/>
      <c r="AM124" s="1064"/>
      <c r="AN124" s="1064"/>
      <c r="AO124" s="1064"/>
      <c r="IN124" s="1084"/>
      <c r="IO124" s="1084"/>
      <c r="IP124" s="1084"/>
      <c r="IQ124" s="1084"/>
      <c r="IR124" s="1084"/>
      <c r="IS124" s="1084"/>
      <c r="IT124" s="1084"/>
      <c r="IU124" s="1084"/>
      <c r="IV124" s="1085"/>
    </row>
    <row r="125" spans="1:256" s="1083" customFormat="1" ht="15" customHeight="1" thickTop="1">
      <c r="A125" s="248" t="s">
        <v>352</v>
      </c>
      <c r="B125" s="1086"/>
      <c r="C125" s="1056"/>
      <c r="D125" s="1087">
        <f>PAUMO</f>
      </c>
      <c r="E125" s="1087"/>
      <c r="F125" s="1087"/>
      <c r="G125" s="1087"/>
      <c r="H125" s="1087"/>
      <c r="I125" s="1087"/>
      <c r="J125" s="1087"/>
      <c r="K125" s="1087"/>
      <c r="L125" s="1087"/>
      <c r="M125" s="1087"/>
      <c r="N125" s="1087"/>
      <c r="O125" s="1087"/>
      <c r="P125" s="1087"/>
      <c r="Q125" s="1087"/>
      <c r="R125" s="1087"/>
      <c r="S125" s="1087"/>
      <c r="T125" s="1087"/>
      <c r="U125" s="1087"/>
      <c r="V125" s="1087"/>
      <c r="W125" s="1087"/>
      <c r="X125" s="1087"/>
      <c r="Y125" s="1087"/>
      <c r="Z125" s="1087"/>
      <c r="AA125" s="1087"/>
      <c r="AB125" s="1087"/>
      <c r="AC125" s="1087"/>
      <c r="AD125" s="1087"/>
      <c r="AE125" s="1087"/>
      <c r="AF125" s="1087"/>
      <c r="AG125" s="1087"/>
      <c r="AH125" s="1087"/>
      <c r="AI125" s="1087"/>
      <c r="AJ125" s="1087"/>
      <c r="AK125" s="1087"/>
      <c r="AL125" s="1087"/>
      <c r="AM125" s="1087"/>
      <c r="AN125" s="1087"/>
      <c r="AO125" s="1087"/>
      <c r="IN125" s="1084"/>
      <c r="IO125" s="1084"/>
      <c r="IP125" s="1084"/>
      <c r="IQ125" s="1084"/>
      <c r="IR125" s="1084"/>
      <c r="IS125" s="1084"/>
      <c r="IT125" s="1084"/>
      <c r="IU125" s="1084"/>
      <c r="IV125" s="1088"/>
    </row>
    <row r="126" spans="1:256" s="1083" customFormat="1" ht="12.75" customHeight="1">
      <c r="A126" s="1089" t="s">
        <v>354</v>
      </c>
      <c r="B126" s="254" t="s">
        <v>353</v>
      </c>
      <c r="C126" s="1056" t="s">
        <v>778</v>
      </c>
      <c r="D126" s="1064">
        <f>IF('Saisie '!C119="",0,'Saisie '!C119)</f>
        <v>0</v>
      </c>
      <c r="E126" s="1064"/>
      <c r="F126" s="1064"/>
      <c r="G126" s="1064"/>
      <c r="H126" s="1064"/>
      <c r="I126" s="1064"/>
      <c r="J126" s="1064"/>
      <c r="K126" s="1064"/>
      <c r="L126" s="1064"/>
      <c r="M126" s="1064"/>
      <c r="N126" s="1064"/>
      <c r="O126" s="1064"/>
      <c r="P126" s="1064"/>
      <c r="Q126" s="1064"/>
      <c r="R126" s="1064"/>
      <c r="S126" s="1064"/>
      <c r="T126" s="1064"/>
      <c r="U126" s="1064"/>
      <c r="V126" s="1064"/>
      <c r="W126" s="1064"/>
      <c r="X126" s="1064"/>
      <c r="Y126" s="1064"/>
      <c r="Z126" s="1064"/>
      <c r="AA126" s="1064"/>
      <c r="AB126" s="1064"/>
      <c r="AC126" s="1064"/>
      <c r="AD126" s="1064"/>
      <c r="AE126" s="1064"/>
      <c r="AF126" s="1064"/>
      <c r="AG126" s="1064"/>
      <c r="AH126" s="1064"/>
      <c r="AI126" s="1064"/>
      <c r="AJ126" s="1064"/>
      <c r="AK126" s="1064"/>
      <c r="AL126" s="1064"/>
      <c r="AM126" s="1064"/>
      <c r="AN126" s="1064"/>
      <c r="AO126" s="1064"/>
      <c r="IN126" s="1023"/>
      <c r="IO126" s="1023"/>
      <c r="IP126" s="1023"/>
      <c r="IQ126" s="1023"/>
      <c r="IR126" s="1023"/>
      <c r="IS126" s="1023"/>
      <c r="IT126" s="1023"/>
      <c r="IU126" s="1023"/>
      <c r="IV126" s="1023"/>
    </row>
    <row r="127" spans="1:256" s="1083" customFormat="1" ht="13.5" customHeight="1" thickBot="1">
      <c r="A127" s="1090" t="s">
        <v>357</v>
      </c>
      <c r="B127" s="260" t="s">
        <v>356</v>
      </c>
      <c r="C127" s="1056" t="s">
        <v>778</v>
      </c>
      <c r="D127" s="1064">
        <f>IF('Saisie '!C120="",0,'Saisie '!C120)</f>
        <v>0</v>
      </c>
      <c r="E127" s="1064"/>
      <c r="F127" s="1064"/>
      <c r="G127" s="1064"/>
      <c r="H127" s="1064"/>
      <c r="I127" s="1064"/>
      <c r="J127" s="1064"/>
      <c r="K127" s="1064"/>
      <c r="L127" s="1064"/>
      <c r="M127" s="1064"/>
      <c r="N127" s="1064"/>
      <c r="O127" s="1064"/>
      <c r="P127" s="1064"/>
      <c r="Q127" s="1064"/>
      <c r="R127" s="1064"/>
      <c r="S127" s="1064"/>
      <c r="T127" s="1064"/>
      <c r="U127" s="1064"/>
      <c r="V127" s="1064"/>
      <c r="W127" s="1064"/>
      <c r="X127" s="1064"/>
      <c r="Y127" s="1064"/>
      <c r="Z127" s="1064"/>
      <c r="AA127" s="1064"/>
      <c r="AB127" s="1064"/>
      <c r="AC127" s="1064"/>
      <c r="AD127" s="1064"/>
      <c r="AE127" s="1064"/>
      <c r="AF127" s="1064"/>
      <c r="AG127" s="1064"/>
      <c r="AH127" s="1064"/>
      <c r="AI127" s="1064"/>
      <c r="AJ127" s="1064"/>
      <c r="AK127" s="1064"/>
      <c r="AL127" s="1064"/>
      <c r="AM127" s="1064"/>
      <c r="AN127" s="1064"/>
      <c r="AO127" s="1064"/>
      <c r="IN127" s="1023"/>
      <c r="IO127" s="1023"/>
      <c r="IP127" s="1023"/>
      <c r="IQ127" s="1023"/>
      <c r="IR127" s="1023"/>
      <c r="IS127" s="1023"/>
      <c r="IT127" s="1023"/>
      <c r="IU127" s="1023"/>
      <c r="IV127" s="1023"/>
    </row>
    <row r="128" spans="1:256" s="1083" customFormat="1" ht="14.25" customHeight="1" thickTop="1">
      <c r="A128" s="1089" t="s">
        <v>359</v>
      </c>
      <c r="B128" s="254" t="s">
        <v>358</v>
      </c>
      <c r="C128" s="1056" t="s">
        <v>778</v>
      </c>
      <c r="D128" s="1064">
        <f>IF('Saisie '!C121="",0,'Saisie '!C121)</f>
        <v>0</v>
      </c>
      <c r="E128" s="1064"/>
      <c r="F128" s="1064"/>
      <c r="G128" s="1064"/>
      <c r="H128" s="1064"/>
      <c r="I128" s="1064"/>
      <c r="J128" s="1064"/>
      <c r="K128" s="1064"/>
      <c r="L128" s="1064"/>
      <c r="M128" s="1064"/>
      <c r="N128" s="1064"/>
      <c r="O128" s="1064"/>
      <c r="P128" s="1064"/>
      <c r="Q128" s="1064"/>
      <c r="R128" s="1064"/>
      <c r="S128" s="1064"/>
      <c r="T128" s="1064"/>
      <c r="U128" s="1064"/>
      <c r="V128" s="1064"/>
      <c r="W128" s="1064"/>
      <c r="X128" s="1064"/>
      <c r="Y128" s="1064"/>
      <c r="Z128" s="1064"/>
      <c r="AA128" s="1064"/>
      <c r="AB128" s="1064"/>
      <c r="AC128" s="1064"/>
      <c r="AD128" s="1064"/>
      <c r="AE128" s="1064"/>
      <c r="AF128" s="1064"/>
      <c r="AG128" s="1064"/>
      <c r="AH128" s="1064"/>
      <c r="AI128" s="1064"/>
      <c r="AJ128" s="1064"/>
      <c r="AK128" s="1064"/>
      <c r="AL128" s="1064"/>
      <c r="AM128" s="1064"/>
      <c r="AN128" s="1064"/>
      <c r="AO128" s="1064"/>
      <c r="IN128" s="1023"/>
      <c r="IO128" s="1023"/>
      <c r="IP128" s="1023"/>
      <c r="IQ128" s="1023"/>
      <c r="IR128" s="1023"/>
      <c r="IS128" s="1023"/>
      <c r="IT128" s="1023"/>
      <c r="IU128" s="1023"/>
      <c r="IV128" s="1023"/>
    </row>
    <row r="129" spans="1:256" s="1083" customFormat="1" ht="13.5" customHeight="1" thickBot="1">
      <c r="A129" s="1090" t="s">
        <v>362</v>
      </c>
      <c r="B129" s="260" t="s">
        <v>361</v>
      </c>
      <c r="C129" s="1056" t="s">
        <v>778</v>
      </c>
      <c r="D129" s="1064">
        <f>IF('Saisie '!C122="",0,'Saisie '!C122)</f>
        <v>0</v>
      </c>
      <c r="E129" s="1064"/>
      <c r="F129" s="1064"/>
      <c r="G129" s="1064"/>
      <c r="H129" s="1064"/>
      <c r="I129" s="1064"/>
      <c r="J129" s="1064"/>
      <c r="K129" s="1064"/>
      <c r="L129" s="1064"/>
      <c r="M129" s="1064"/>
      <c r="N129" s="1064"/>
      <c r="O129" s="1064"/>
      <c r="P129" s="1064"/>
      <c r="Q129" s="1064"/>
      <c r="R129" s="1064"/>
      <c r="S129" s="1064"/>
      <c r="T129" s="1064"/>
      <c r="U129" s="1064"/>
      <c r="V129" s="1064"/>
      <c r="W129" s="1064"/>
      <c r="X129" s="1064"/>
      <c r="Y129" s="1064"/>
      <c r="Z129" s="1064"/>
      <c r="AA129" s="1064"/>
      <c r="AB129" s="1064"/>
      <c r="AC129" s="1064"/>
      <c r="AD129" s="1064"/>
      <c r="AE129" s="1064"/>
      <c r="AF129" s="1064"/>
      <c r="AG129" s="1064"/>
      <c r="AH129" s="1064"/>
      <c r="AI129" s="1064"/>
      <c r="AJ129" s="1064"/>
      <c r="AK129" s="1064"/>
      <c r="AL129" s="1064"/>
      <c r="AM129" s="1064"/>
      <c r="AN129" s="1064"/>
      <c r="AO129" s="1064"/>
      <c r="IN129" s="1084"/>
      <c r="IO129" s="1084"/>
      <c r="IP129" s="1084"/>
      <c r="IQ129" s="1084"/>
      <c r="IR129" s="1084"/>
      <c r="IS129" s="1084"/>
      <c r="IT129" s="1084"/>
      <c r="IU129" s="1084"/>
      <c r="IV129" s="1084"/>
    </row>
    <row r="130" spans="1:256" s="1083" customFormat="1" ht="13.5" customHeight="1" thickTop="1">
      <c r="A130" s="1089" t="s">
        <v>364</v>
      </c>
      <c r="B130" s="254" t="s">
        <v>363</v>
      </c>
      <c r="C130" s="1056" t="s">
        <v>778</v>
      </c>
      <c r="D130" s="1064">
        <f>IF('Saisie '!C123="",0,'Saisie '!C123)</f>
        <v>0</v>
      </c>
      <c r="E130" s="1064"/>
      <c r="F130" s="1064"/>
      <c r="G130" s="1064"/>
      <c r="H130" s="1064"/>
      <c r="I130" s="1064"/>
      <c r="J130" s="1064"/>
      <c r="K130" s="1064"/>
      <c r="L130" s="1064"/>
      <c r="M130" s="1064"/>
      <c r="N130" s="1064"/>
      <c r="O130" s="1064"/>
      <c r="P130" s="1064"/>
      <c r="Q130" s="1064"/>
      <c r="R130" s="1064"/>
      <c r="S130" s="1064"/>
      <c r="T130" s="1064"/>
      <c r="U130" s="1064"/>
      <c r="V130" s="1064"/>
      <c r="W130" s="1064"/>
      <c r="X130" s="1064"/>
      <c r="Y130" s="1064"/>
      <c r="Z130" s="1064"/>
      <c r="AA130" s="1064"/>
      <c r="AB130" s="1064"/>
      <c r="AC130" s="1064"/>
      <c r="AD130" s="1064"/>
      <c r="AE130" s="1064"/>
      <c r="AF130" s="1064"/>
      <c r="AG130" s="1064"/>
      <c r="AH130" s="1064"/>
      <c r="AI130" s="1064"/>
      <c r="AJ130" s="1064"/>
      <c r="AK130" s="1064"/>
      <c r="AL130" s="1064"/>
      <c r="AM130" s="1064"/>
      <c r="AN130" s="1064"/>
      <c r="AO130" s="1064"/>
      <c r="IN130" s="1023"/>
      <c r="IO130" s="1023"/>
      <c r="IP130" s="1023"/>
      <c r="IQ130" s="1023"/>
      <c r="IR130" s="1023"/>
      <c r="IS130" s="1023"/>
      <c r="IT130" s="1023"/>
      <c r="IU130" s="1023"/>
      <c r="IV130" s="1023"/>
    </row>
    <row r="131" spans="1:256" s="1083" customFormat="1" ht="13.5" customHeight="1" thickBot="1">
      <c r="A131" s="1091" t="s">
        <v>367</v>
      </c>
      <c r="B131" s="266" t="s">
        <v>366</v>
      </c>
      <c r="C131" s="1056" t="s">
        <v>778</v>
      </c>
      <c r="D131" s="1064">
        <f>IF('Saisie '!C124="",0,'Saisie '!C124)</f>
        <v>0</v>
      </c>
      <c r="E131" s="1064"/>
      <c r="F131" s="1064"/>
      <c r="G131" s="1064"/>
      <c r="H131" s="1064"/>
      <c r="I131" s="1064"/>
      <c r="J131" s="1064"/>
      <c r="K131" s="1064"/>
      <c r="L131" s="1064"/>
      <c r="M131" s="1064"/>
      <c r="N131" s="1064"/>
      <c r="O131" s="1064"/>
      <c r="P131" s="1064"/>
      <c r="Q131" s="1064"/>
      <c r="R131" s="1064"/>
      <c r="S131" s="1064"/>
      <c r="T131" s="1064"/>
      <c r="U131" s="1064"/>
      <c r="V131" s="1064"/>
      <c r="W131" s="1064"/>
      <c r="X131" s="1064"/>
      <c r="Y131" s="1064"/>
      <c r="Z131" s="1064"/>
      <c r="AA131" s="1064"/>
      <c r="AB131" s="1064"/>
      <c r="AC131" s="1064"/>
      <c r="AD131" s="1064"/>
      <c r="AE131" s="1064"/>
      <c r="AF131" s="1064"/>
      <c r="AG131" s="1064"/>
      <c r="AH131" s="1064"/>
      <c r="AI131" s="1064"/>
      <c r="AJ131" s="1064"/>
      <c r="AK131" s="1064"/>
      <c r="AL131" s="1064"/>
      <c r="AM131" s="1064"/>
      <c r="AN131" s="1064"/>
      <c r="AO131" s="1064"/>
      <c r="IN131" s="1023"/>
      <c r="IO131" s="1023"/>
      <c r="IP131" s="1023"/>
      <c r="IQ131" s="1023"/>
      <c r="IR131" s="1023"/>
      <c r="IS131" s="1023"/>
      <c r="IT131" s="1023"/>
      <c r="IU131" s="1023"/>
      <c r="IV131" s="1023"/>
    </row>
    <row r="132" spans="1:256" s="1083" customFormat="1" ht="13.5" customHeight="1" thickTop="1">
      <c r="A132" s="1055"/>
      <c r="B132" s="673"/>
      <c r="C132" s="1021"/>
      <c r="D132" s="1092"/>
      <c r="E132" s="1092"/>
      <c r="F132" s="1092"/>
      <c r="G132" s="1092"/>
      <c r="H132" s="1092"/>
      <c r="I132" s="1092"/>
      <c r="J132" s="1092"/>
      <c r="K132" s="1092"/>
      <c r="L132" s="1092"/>
      <c r="M132" s="1092"/>
      <c r="N132" s="1092"/>
      <c r="O132" s="1092"/>
      <c r="P132" s="1092"/>
      <c r="Q132" s="1092"/>
      <c r="R132" s="1092"/>
      <c r="S132" s="1092"/>
      <c r="T132" s="1092"/>
      <c r="U132" s="1092"/>
      <c r="V132" s="1092"/>
      <c r="W132" s="1092"/>
      <c r="X132" s="1092"/>
      <c r="Y132" s="1092"/>
      <c r="Z132" s="1092"/>
      <c r="AA132" s="1092"/>
      <c r="AB132" s="1092"/>
      <c r="AC132" s="1092"/>
      <c r="AD132" s="1092"/>
      <c r="AE132" s="1092"/>
      <c r="AF132" s="1092"/>
      <c r="AG132" s="1092"/>
      <c r="AH132" s="1092"/>
      <c r="AI132" s="1092"/>
      <c r="AJ132" s="1092"/>
      <c r="AK132" s="1092"/>
      <c r="AL132" s="1092"/>
      <c r="AM132" s="1092"/>
      <c r="AN132" s="1092"/>
      <c r="AO132" s="1092"/>
      <c r="IN132" s="1023"/>
      <c r="IO132" s="1023"/>
      <c r="IP132" s="1023"/>
      <c r="IQ132" s="1023"/>
      <c r="IR132" s="1023"/>
      <c r="IS132" s="1023"/>
      <c r="IT132" s="1023"/>
      <c r="IU132" s="1023"/>
      <c r="IV132" s="1023"/>
    </row>
    <row r="133" spans="1:256" s="1083" customFormat="1" ht="15" customHeight="1">
      <c r="A133" s="1047" t="s">
        <v>790</v>
      </c>
      <c r="B133" s="1076"/>
      <c r="C133" s="1056"/>
      <c r="D133" s="1093"/>
      <c r="E133" s="1093"/>
      <c r="F133" s="1093"/>
      <c r="G133" s="1093"/>
      <c r="H133" s="1093"/>
      <c r="I133" s="1093"/>
      <c r="J133" s="1093"/>
      <c r="K133" s="1093"/>
      <c r="L133" s="1093"/>
      <c r="M133" s="1093"/>
      <c r="N133" s="1093"/>
      <c r="O133" s="1093"/>
      <c r="P133" s="1093"/>
      <c r="Q133" s="1093"/>
      <c r="R133" s="1093"/>
      <c r="S133" s="1093"/>
      <c r="T133" s="1093"/>
      <c r="U133" s="1093"/>
      <c r="V133" s="1093"/>
      <c r="W133" s="1093"/>
      <c r="X133" s="1093"/>
      <c r="Y133" s="1093"/>
      <c r="Z133" s="1093"/>
      <c r="AA133" s="1093"/>
      <c r="AB133" s="1093"/>
      <c r="AC133" s="1093"/>
      <c r="AD133" s="1093"/>
      <c r="AE133" s="1093"/>
      <c r="AF133" s="1093"/>
      <c r="AG133" s="1093"/>
      <c r="AH133" s="1093"/>
      <c r="AI133" s="1093"/>
      <c r="AJ133" s="1093"/>
      <c r="AK133" s="1093"/>
      <c r="AL133" s="1093"/>
      <c r="AM133" s="1093"/>
      <c r="AN133" s="1093"/>
      <c r="AO133" s="1093"/>
      <c r="IN133" s="1084"/>
      <c r="IO133" s="1084"/>
      <c r="IP133" s="1084"/>
      <c r="IQ133" s="1084"/>
      <c r="IR133" s="1084"/>
      <c r="IS133" s="1084"/>
      <c r="IT133" s="1084"/>
      <c r="IU133" s="1084"/>
      <c r="IV133" s="1084"/>
    </row>
    <row r="134" spans="1:256" s="1083" customFormat="1" ht="12.75" customHeight="1">
      <c r="A134" s="1055" t="s">
        <v>791</v>
      </c>
      <c r="B134" s="1060" t="s">
        <v>792</v>
      </c>
      <c r="C134" s="1056" t="s">
        <v>793</v>
      </c>
      <c r="D134" s="1094" t="e">
        <f>'Edition 1'!B9</f>
        <v>#DIV/0!</v>
      </c>
      <c r="E134" s="1094"/>
      <c r="F134" s="1094"/>
      <c r="G134" s="1094"/>
      <c r="H134" s="1094"/>
      <c r="I134" s="1094"/>
      <c r="J134" s="1094"/>
      <c r="K134" s="1094"/>
      <c r="L134" s="1094"/>
      <c r="M134" s="1094"/>
      <c r="N134" s="1094"/>
      <c r="O134" s="1094"/>
      <c r="P134" s="1094"/>
      <c r="Q134" s="1094"/>
      <c r="R134" s="1094"/>
      <c r="S134" s="1094"/>
      <c r="T134" s="1094"/>
      <c r="U134" s="1094"/>
      <c r="V134" s="1094"/>
      <c r="W134" s="1094"/>
      <c r="X134" s="1094"/>
      <c r="Y134" s="1094"/>
      <c r="Z134" s="1094"/>
      <c r="AA134" s="1094"/>
      <c r="AB134" s="1094"/>
      <c r="AC134" s="1094"/>
      <c r="AD134" s="1094"/>
      <c r="AE134" s="1094"/>
      <c r="AF134" s="1094"/>
      <c r="AG134" s="1094"/>
      <c r="AH134" s="1094"/>
      <c r="AI134" s="1094"/>
      <c r="AJ134" s="1094"/>
      <c r="AK134" s="1094"/>
      <c r="AL134" s="1094"/>
      <c r="AM134" s="1094"/>
      <c r="AN134" s="1094"/>
      <c r="AO134" s="1094"/>
      <c r="IN134" s="1023"/>
      <c r="IO134" s="1023"/>
      <c r="IP134" s="1023"/>
      <c r="IQ134" s="1023"/>
      <c r="IR134" s="1023"/>
      <c r="IS134" s="1023"/>
      <c r="IT134" s="1023"/>
      <c r="IU134" s="1023"/>
      <c r="IV134" s="1023"/>
    </row>
    <row r="135" spans="1:256" s="1083" customFormat="1" ht="12.75" customHeight="1">
      <c r="A135" s="1055" t="s">
        <v>794</v>
      </c>
      <c r="B135" s="1060" t="s">
        <v>795</v>
      </c>
      <c r="C135" s="1056" t="s">
        <v>793</v>
      </c>
      <c r="D135" s="1094" t="e">
        <f>'Edition 1'!B10</f>
        <v>#DIV/0!</v>
      </c>
      <c r="E135" s="1094"/>
      <c r="F135" s="1094"/>
      <c r="G135" s="1094"/>
      <c r="H135" s="1094"/>
      <c r="I135" s="1094"/>
      <c r="J135" s="1094"/>
      <c r="K135" s="1094"/>
      <c r="L135" s="1094"/>
      <c r="M135" s="1094"/>
      <c r="N135" s="1094"/>
      <c r="O135" s="1094"/>
      <c r="P135" s="1094"/>
      <c r="Q135" s="1094"/>
      <c r="R135" s="1094"/>
      <c r="S135" s="1094"/>
      <c r="T135" s="1094"/>
      <c r="U135" s="1094"/>
      <c r="V135" s="1094"/>
      <c r="W135" s="1094"/>
      <c r="X135" s="1094"/>
      <c r="Y135" s="1094"/>
      <c r="Z135" s="1094"/>
      <c r="AA135" s="1094"/>
      <c r="AB135" s="1094"/>
      <c r="AC135" s="1094"/>
      <c r="AD135" s="1094"/>
      <c r="AE135" s="1094"/>
      <c r="AF135" s="1094"/>
      <c r="AG135" s="1094"/>
      <c r="AH135" s="1094"/>
      <c r="AI135" s="1094"/>
      <c r="AJ135" s="1094"/>
      <c r="AK135" s="1094"/>
      <c r="AL135" s="1094"/>
      <c r="AM135" s="1094"/>
      <c r="AN135" s="1094"/>
      <c r="AO135" s="1094"/>
      <c r="IN135" s="1023"/>
      <c r="IO135" s="1023"/>
      <c r="IP135" s="1023"/>
      <c r="IQ135" s="1023"/>
      <c r="IR135" s="1023"/>
      <c r="IS135" s="1023"/>
      <c r="IT135" s="1023"/>
      <c r="IU135" s="1023"/>
      <c r="IV135" s="1023"/>
    </row>
    <row r="136" spans="1:256" s="1083" customFormat="1" ht="12.75" customHeight="1">
      <c r="A136" s="1055" t="s">
        <v>796</v>
      </c>
      <c r="B136" s="1060" t="s">
        <v>797</v>
      </c>
      <c r="C136" s="1056" t="s">
        <v>793</v>
      </c>
      <c r="D136" s="1094" t="e">
        <f>'Edition 1'!B11</f>
        <v>#DIV/0!</v>
      </c>
      <c r="E136" s="1094"/>
      <c r="F136" s="1094"/>
      <c r="G136" s="1094"/>
      <c r="H136" s="1094"/>
      <c r="I136" s="1094"/>
      <c r="J136" s="1094"/>
      <c r="K136" s="1094"/>
      <c r="L136" s="1094"/>
      <c r="M136" s="1094"/>
      <c r="N136" s="1094"/>
      <c r="O136" s="1094"/>
      <c r="P136" s="1094"/>
      <c r="Q136" s="1094"/>
      <c r="R136" s="1094"/>
      <c r="S136" s="1094"/>
      <c r="T136" s="1094"/>
      <c r="U136" s="1094"/>
      <c r="V136" s="1094"/>
      <c r="W136" s="1094"/>
      <c r="X136" s="1094"/>
      <c r="Y136" s="1094"/>
      <c r="Z136" s="1094"/>
      <c r="AA136" s="1094"/>
      <c r="AB136" s="1094"/>
      <c r="AC136" s="1094"/>
      <c r="AD136" s="1094"/>
      <c r="AE136" s="1094"/>
      <c r="AF136" s="1094"/>
      <c r="AG136" s="1094"/>
      <c r="AH136" s="1094"/>
      <c r="AI136" s="1094"/>
      <c r="AJ136" s="1094"/>
      <c r="AK136" s="1094"/>
      <c r="AL136" s="1094"/>
      <c r="AM136" s="1094"/>
      <c r="AN136" s="1094"/>
      <c r="AO136" s="1094"/>
      <c r="IN136" s="1084"/>
      <c r="IO136" s="1084"/>
      <c r="IP136" s="1084"/>
      <c r="IQ136" s="1084"/>
      <c r="IR136" s="1084"/>
      <c r="IS136" s="1084"/>
      <c r="IT136" s="1084"/>
      <c r="IU136" s="1084"/>
      <c r="IV136" s="1084"/>
    </row>
    <row r="137" spans="1:256" s="1083" customFormat="1" ht="12.75" customHeight="1">
      <c r="A137" s="1055" t="s">
        <v>798</v>
      </c>
      <c r="B137" s="1060" t="s">
        <v>613</v>
      </c>
      <c r="C137" s="1056" t="s">
        <v>793</v>
      </c>
      <c r="D137" s="1094" t="e">
        <f>'Edition 1'!B12</f>
        <v>#DIV/0!</v>
      </c>
      <c r="E137" s="1094"/>
      <c r="F137" s="1094"/>
      <c r="G137" s="1094"/>
      <c r="H137" s="1094"/>
      <c r="I137" s="1094"/>
      <c r="J137" s="1094"/>
      <c r="K137" s="1094"/>
      <c r="L137" s="1094"/>
      <c r="M137" s="1094"/>
      <c r="N137" s="1094"/>
      <c r="O137" s="1094"/>
      <c r="P137" s="1094"/>
      <c r="Q137" s="1094"/>
      <c r="R137" s="1094"/>
      <c r="S137" s="1094"/>
      <c r="T137" s="1094"/>
      <c r="U137" s="1094"/>
      <c r="V137" s="1094"/>
      <c r="W137" s="1094"/>
      <c r="X137" s="1094"/>
      <c r="Y137" s="1094"/>
      <c r="Z137" s="1094"/>
      <c r="AA137" s="1094"/>
      <c r="AB137" s="1094"/>
      <c r="AC137" s="1094"/>
      <c r="AD137" s="1094"/>
      <c r="AE137" s="1094"/>
      <c r="AF137" s="1094"/>
      <c r="AG137" s="1094"/>
      <c r="AH137" s="1094"/>
      <c r="AI137" s="1094"/>
      <c r="AJ137" s="1094"/>
      <c r="AK137" s="1094"/>
      <c r="AL137" s="1094"/>
      <c r="AM137" s="1094"/>
      <c r="AN137" s="1094"/>
      <c r="AO137" s="1094"/>
      <c r="IN137" s="1084"/>
      <c r="IO137" s="1084"/>
      <c r="IP137" s="1084"/>
      <c r="IQ137" s="1084"/>
      <c r="IR137" s="1084"/>
      <c r="IS137" s="1084"/>
      <c r="IT137" s="1084"/>
      <c r="IU137" s="1084"/>
      <c r="IV137" s="1084"/>
    </row>
    <row r="138" spans="1:256" s="1083" customFormat="1" ht="12.75" customHeight="1">
      <c r="A138" s="1055" t="s">
        <v>799</v>
      </c>
      <c r="B138" s="1060" t="s">
        <v>230</v>
      </c>
      <c r="C138" s="1056" t="s">
        <v>793</v>
      </c>
      <c r="D138" s="1094" t="e">
        <f>'Edition 1'!B13</f>
        <v>#DIV/0!</v>
      </c>
      <c r="E138" s="1094"/>
      <c r="F138" s="1094"/>
      <c r="G138" s="1094"/>
      <c r="H138" s="1094"/>
      <c r="I138" s="1094"/>
      <c r="J138" s="1094"/>
      <c r="K138" s="1094"/>
      <c r="L138" s="1094"/>
      <c r="M138" s="1094"/>
      <c r="N138" s="1094"/>
      <c r="O138" s="1094"/>
      <c r="P138" s="1094"/>
      <c r="Q138" s="1094"/>
      <c r="R138" s="1094"/>
      <c r="S138" s="1094"/>
      <c r="T138" s="1094"/>
      <c r="U138" s="1094"/>
      <c r="V138" s="1094"/>
      <c r="W138" s="1094"/>
      <c r="X138" s="1094"/>
      <c r="Y138" s="1094"/>
      <c r="Z138" s="1094"/>
      <c r="AA138" s="1094"/>
      <c r="AB138" s="1094"/>
      <c r="AC138" s="1094"/>
      <c r="AD138" s="1094"/>
      <c r="AE138" s="1094"/>
      <c r="AF138" s="1094"/>
      <c r="AG138" s="1094"/>
      <c r="AH138" s="1094"/>
      <c r="AI138" s="1094"/>
      <c r="AJ138" s="1094"/>
      <c r="AK138" s="1094"/>
      <c r="AL138" s="1094"/>
      <c r="AM138" s="1094"/>
      <c r="AN138" s="1094"/>
      <c r="AO138" s="1094"/>
      <c r="IN138" s="1023"/>
      <c r="IO138" s="1023"/>
      <c r="IP138" s="1023"/>
      <c r="IQ138" s="1023"/>
      <c r="IR138" s="1023"/>
      <c r="IS138" s="1023"/>
      <c r="IT138" s="1023"/>
      <c r="IU138" s="1023"/>
      <c r="IV138" s="1023"/>
    </row>
    <row r="139" spans="1:256" s="1083" customFormat="1" ht="12.75" customHeight="1">
      <c r="A139" s="1055" t="s">
        <v>800</v>
      </c>
      <c r="B139" s="1060" t="s">
        <v>801</v>
      </c>
      <c r="C139" s="1056" t="s">
        <v>793</v>
      </c>
      <c r="D139" s="1094" t="e">
        <f>'Edition 1'!B14</f>
        <v>#DIV/0!</v>
      </c>
      <c r="E139" s="1094"/>
      <c r="F139" s="1094"/>
      <c r="G139" s="1094"/>
      <c r="H139" s="1094"/>
      <c r="I139" s="1094"/>
      <c r="J139" s="1094"/>
      <c r="K139" s="1094"/>
      <c r="L139" s="1094"/>
      <c r="M139" s="1094"/>
      <c r="N139" s="1094"/>
      <c r="O139" s="1094"/>
      <c r="P139" s="1094"/>
      <c r="Q139" s="1094"/>
      <c r="R139" s="1094"/>
      <c r="S139" s="1094"/>
      <c r="T139" s="1094"/>
      <c r="U139" s="1094"/>
      <c r="V139" s="1094"/>
      <c r="W139" s="1094"/>
      <c r="X139" s="1094"/>
      <c r="Y139" s="1094"/>
      <c r="Z139" s="1094"/>
      <c r="AA139" s="1094"/>
      <c r="AB139" s="1094"/>
      <c r="AC139" s="1094"/>
      <c r="AD139" s="1094"/>
      <c r="AE139" s="1094"/>
      <c r="AF139" s="1094"/>
      <c r="AG139" s="1094"/>
      <c r="AH139" s="1094"/>
      <c r="AI139" s="1094"/>
      <c r="AJ139" s="1094"/>
      <c r="AK139" s="1094"/>
      <c r="AL139" s="1094"/>
      <c r="AM139" s="1094"/>
      <c r="AN139" s="1094"/>
      <c r="AO139" s="1094"/>
      <c r="IN139" s="1023"/>
      <c r="IO139" s="1023"/>
      <c r="IP139" s="1023"/>
      <c r="IQ139" s="1023"/>
      <c r="IR139" s="1023"/>
      <c r="IS139" s="1023"/>
      <c r="IT139" s="1023"/>
      <c r="IU139" s="1023"/>
      <c r="IV139" s="1023"/>
    </row>
    <row r="140" spans="1:256" s="1083" customFormat="1" ht="12.75" customHeight="1">
      <c r="A140" s="1055" t="s">
        <v>802</v>
      </c>
      <c r="B140" s="1060" t="s">
        <v>235</v>
      </c>
      <c r="C140" s="1056" t="s">
        <v>793</v>
      </c>
      <c r="D140" s="1094" t="e">
        <f>'Edition 1'!B15</f>
        <v>#DIV/0!</v>
      </c>
      <c r="E140" s="1094"/>
      <c r="F140" s="1094"/>
      <c r="G140" s="1094"/>
      <c r="H140" s="1094"/>
      <c r="I140" s="1094"/>
      <c r="J140" s="1094"/>
      <c r="K140" s="1094"/>
      <c r="L140" s="1094"/>
      <c r="M140" s="1094"/>
      <c r="N140" s="1094"/>
      <c r="O140" s="1094"/>
      <c r="P140" s="1094"/>
      <c r="Q140" s="1094"/>
      <c r="R140" s="1094"/>
      <c r="S140" s="1094"/>
      <c r="T140" s="1094"/>
      <c r="U140" s="1094"/>
      <c r="V140" s="1094"/>
      <c r="W140" s="1094"/>
      <c r="X140" s="1094"/>
      <c r="Y140" s="1094"/>
      <c r="Z140" s="1094"/>
      <c r="AA140" s="1094"/>
      <c r="AB140" s="1094"/>
      <c r="AC140" s="1094"/>
      <c r="AD140" s="1094"/>
      <c r="AE140" s="1094"/>
      <c r="AF140" s="1094"/>
      <c r="AG140" s="1094"/>
      <c r="AH140" s="1094"/>
      <c r="AI140" s="1094"/>
      <c r="AJ140" s="1094"/>
      <c r="AK140" s="1094"/>
      <c r="AL140" s="1094"/>
      <c r="AM140" s="1094"/>
      <c r="AN140" s="1094"/>
      <c r="AO140" s="1094"/>
      <c r="IN140" s="1023"/>
      <c r="IO140" s="1023"/>
      <c r="IP140" s="1023"/>
      <c r="IQ140" s="1023"/>
      <c r="IR140" s="1023"/>
      <c r="IS140" s="1023"/>
      <c r="IT140" s="1023"/>
      <c r="IU140" s="1023"/>
      <c r="IV140" s="1023"/>
    </row>
    <row r="141" spans="1:256" s="1083" customFormat="1" ht="12.75" customHeight="1">
      <c r="A141" s="1055" t="s">
        <v>803</v>
      </c>
      <c r="B141" s="1060" t="s">
        <v>242</v>
      </c>
      <c r="C141" s="1056" t="s">
        <v>793</v>
      </c>
      <c r="D141" s="1094" t="e">
        <f>'Edition 1'!B16</f>
        <v>#DIV/0!</v>
      </c>
      <c r="E141" s="1094"/>
      <c r="F141" s="1094"/>
      <c r="G141" s="1094"/>
      <c r="H141" s="1094"/>
      <c r="I141" s="1094"/>
      <c r="J141" s="1094"/>
      <c r="K141" s="1094"/>
      <c r="L141" s="1094"/>
      <c r="M141" s="1094"/>
      <c r="N141" s="1094"/>
      <c r="O141" s="1094"/>
      <c r="P141" s="1094"/>
      <c r="Q141" s="1094"/>
      <c r="R141" s="1094"/>
      <c r="S141" s="1094"/>
      <c r="T141" s="1094"/>
      <c r="U141" s="1094"/>
      <c r="V141" s="1094"/>
      <c r="W141" s="1094"/>
      <c r="X141" s="1094"/>
      <c r="Y141" s="1094"/>
      <c r="Z141" s="1094"/>
      <c r="AA141" s="1094"/>
      <c r="AB141" s="1094"/>
      <c r="AC141" s="1094"/>
      <c r="AD141" s="1094"/>
      <c r="AE141" s="1094"/>
      <c r="AF141" s="1094"/>
      <c r="AG141" s="1094"/>
      <c r="AH141" s="1094"/>
      <c r="AI141" s="1094"/>
      <c r="AJ141" s="1094"/>
      <c r="AK141" s="1094"/>
      <c r="AL141" s="1094"/>
      <c r="AM141" s="1094"/>
      <c r="AN141" s="1094"/>
      <c r="AO141" s="1094"/>
      <c r="IN141" s="1023"/>
      <c r="IO141" s="1023"/>
      <c r="IP141" s="1023"/>
      <c r="IQ141" s="1023"/>
      <c r="IR141" s="1023"/>
      <c r="IS141" s="1023"/>
      <c r="IT141" s="1023"/>
      <c r="IU141" s="1023"/>
      <c r="IV141" s="1023"/>
    </row>
    <row r="142" spans="1:256" s="1083" customFormat="1" ht="12.75" customHeight="1">
      <c r="A142" s="1055" t="s">
        <v>804</v>
      </c>
      <c r="B142" s="1060" t="s">
        <v>247</v>
      </c>
      <c r="C142" s="1056" t="s">
        <v>793</v>
      </c>
      <c r="D142" s="1094" t="e">
        <f>'Edition 1'!B17</f>
        <v>#DIV/0!</v>
      </c>
      <c r="E142" s="1094"/>
      <c r="F142" s="1094"/>
      <c r="G142" s="1094"/>
      <c r="H142" s="1094"/>
      <c r="I142" s="1094"/>
      <c r="J142" s="1094"/>
      <c r="K142" s="1094"/>
      <c r="L142" s="1094"/>
      <c r="M142" s="1094"/>
      <c r="N142" s="1094"/>
      <c r="O142" s="1094"/>
      <c r="P142" s="1094"/>
      <c r="Q142" s="1094"/>
      <c r="R142" s="1094"/>
      <c r="S142" s="1094"/>
      <c r="T142" s="1094"/>
      <c r="U142" s="1094"/>
      <c r="V142" s="1094"/>
      <c r="W142" s="1094"/>
      <c r="X142" s="1094"/>
      <c r="Y142" s="1094"/>
      <c r="Z142" s="1094"/>
      <c r="AA142" s="1094"/>
      <c r="AB142" s="1094"/>
      <c r="AC142" s="1094"/>
      <c r="AD142" s="1094"/>
      <c r="AE142" s="1094"/>
      <c r="AF142" s="1094"/>
      <c r="AG142" s="1094"/>
      <c r="AH142" s="1094"/>
      <c r="AI142" s="1094"/>
      <c r="AJ142" s="1094"/>
      <c r="AK142" s="1094"/>
      <c r="AL142" s="1094"/>
      <c r="AM142" s="1094"/>
      <c r="AN142" s="1094"/>
      <c r="AO142" s="1094"/>
      <c r="IN142" s="1084"/>
      <c r="IO142" s="1084"/>
      <c r="IP142" s="1084"/>
      <c r="IQ142" s="1084"/>
      <c r="IR142" s="1084"/>
      <c r="IS142" s="1084"/>
      <c r="IT142" s="1084"/>
      <c r="IU142" s="1084"/>
      <c r="IV142" s="1084"/>
    </row>
    <row r="143" spans="1:256" s="1083" customFormat="1" ht="12.75" customHeight="1">
      <c r="A143" s="1055" t="s">
        <v>805</v>
      </c>
      <c r="B143" s="1060" t="s">
        <v>806</v>
      </c>
      <c r="C143" s="1056" t="s">
        <v>793</v>
      </c>
      <c r="D143" s="1094" t="e">
        <f>'Edition 1'!B18</f>
        <v>#DIV/0!</v>
      </c>
      <c r="E143" s="1094"/>
      <c r="F143" s="1094"/>
      <c r="G143" s="1094"/>
      <c r="H143" s="1094"/>
      <c r="I143" s="1094"/>
      <c r="J143" s="1094"/>
      <c r="K143" s="1094"/>
      <c r="L143" s="1094"/>
      <c r="M143" s="1094"/>
      <c r="N143" s="1094"/>
      <c r="O143" s="1094"/>
      <c r="P143" s="1094"/>
      <c r="Q143" s="1094"/>
      <c r="R143" s="1094"/>
      <c r="S143" s="1094"/>
      <c r="T143" s="1094"/>
      <c r="U143" s="1094"/>
      <c r="V143" s="1094"/>
      <c r="W143" s="1094"/>
      <c r="X143" s="1094"/>
      <c r="Y143" s="1094"/>
      <c r="Z143" s="1094"/>
      <c r="AA143" s="1094"/>
      <c r="AB143" s="1094"/>
      <c r="AC143" s="1094"/>
      <c r="AD143" s="1094"/>
      <c r="AE143" s="1094"/>
      <c r="AF143" s="1094"/>
      <c r="AG143" s="1094"/>
      <c r="AH143" s="1094"/>
      <c r="AI143" s="1094"/>
      <c r="AJ143" s="1094"/>
      <c r="AK143" s="1094"/>
      <c r="AL143" s="1094"/>
      <c r="AM143" s="1094"/>
      <c r="AN143" s="1094"/>
      <c r="AO143" s="1094"/>
      <c r="IN143" s="1023"/>
      <c r="IO143" s="1023"/>
      <c r="IP143" s="1023"/>
      <c r="IQ143" s="1023"/>
      <c r="IR143" s="1023"/>
      <c r="IS143" s="1023"/>
      <c r="IT143" s="1023"/>
      <c r="IU143" s="1023"/>
      <c r="IV143" s="1023"/>
    </row>
    <row r="144" spans="1:256" s="1083" customFormat="1" ht="12.75" customHeight="1">
      <c r="A144" s="1055" t="s">
        <v>807</v>
      </c>
      <c r="B144" s="1060" t="s">
        <v>252</v>
      </c>
      <c r="C144" s="1056" t="s">
        <v>793</v>
      </c>
      <c r="D144" s="1094" t="e">
        <f>'Edition 1'!B19</f>
        <v>#DIV/0!</v>
      </c>
      <c r="E144" s="1094"/>
      <c r="F144" s="1094"/>
      <c r="G144" s="1094"/>
      <c r="H144" s="1094"/>
      <c r="I144" s="1094"/>
      <c r="J144" s="1094"/>
      <c r="K144" s="1094"/>
      <c r="L144" s="1094"/>
      <c r="M144" s="1094"/>
      <c r="N144" s="1094"/>
      <c r="O144" s="1094"/>
      <c r="P144" s="1094"/>
      <c r="Q144" s="1094"/>
      <c r="R144" s="1094"/>
      <c r="S144" s="1094"/>
      <c r="T144" s="1094"/>
      <c r="U144" s="1094"/>
      <c r="V144" s="1094"/>
      <c r="W144" s="1094"/>
      <c r="X144" s="1094"/>
      <c r="Y144" s="1094"/>
      <c r="Z144" s="1094"/>
      <c r="AA144" s="1094"/>
      <c r="AB144" s="1094"/>
      <c r="AC144" s="1094"/>
      <c r="AD144" s="1094"/>
      <c r="AE144" s="1094"/>
      <c r="AF144" s="1094"/>
      <c r="AG144" s="1094"/>
      <c r="AH144" s="1094"/>
      <c r="AI144" s="1094"/>
      <c r="AJ144" s="1094"/>
      <c r="AK144" s="1094"/>
      <c r="AL144" s="1094"/>
      <c r="AM144" s="1094"/>
      <c r="AN144" s="1094"/>
      <c r="AO144" s="1094"/>
      <c r="IN144" s="1023"/>
      <c r="IO144" s="1023"/>
      <c r="IP144" s="1023"/>
      <c r="IQ144" s="1023"/>
      <c r="IR144" s="1023"/>
      <c r="IS144" s="1023"/>
      <c r="IT144" s="1023"/>
      <c r="IU144" s="1023"/>
      <c r="IV144" s="1023"/>
    </row>
    <row r="145" spans="1:256" s="1083" customFormat="1" ht="12.75" customHeight="1">
      <c r="A145" s="1055" t="s">
        <v>808</v>
      </c>
      <c r="B145" s="1060" t="s">
        <v>258</v>
      </c>
      <c r="C145" s="1056" t="s">
        <v>793</v>
      </c>
      <c r="D145" s="1094" t="e">
        <f>'Edition 1'!B20</f>
        <v>#DIV/0!</v>
      </c>
      <c r="E145" s="1094"/>
      <c r="F145" s="1094"/>
      <c r="G145" s="1094"/>
      <c r="H145" s="1094"/>
      <c r="I145" s="1094"/>
      <c r="J145" s="1094"/>
      <c r="K145" s="1094"/>
      <c r="L145" s="1094"/>
      <c r="M145" s="1094"/>
      <c r="N145" s="1094"/>
      <c r="O145" s="1094"/>
      <c r="P145" s="1094"/>
      <c r="Q145" s="1094"/>
      <c r="R145" s="1094"/>
      <c r="S145" s="1094"/>
      <c r="T145" s="1094"/>
      <c r="U145" s="1094"/>
      <c r="V145" s="1094"/>
      <c r="W145" s="1094"/>
      <c r="X145" s="1094"/>
      <c r="Y145" s="1094"/>
      <c r="Z145" s="1094"/>
      <c r="AA145" s="1094"/>
      <c r="AB145" s="1094"/>
      <c r="AC145" s="1094"/>
      <c r="AD145" s="1094"/>
      <c r="AE145" s="1094"/>
      <c r="AF145" s="1094"/>
      <c r="AG145" s="1094"/>
      <c r="AH145" s="1094"/>
      <c r="AI145" s="1094"/>
      <c r="AJ145" s="1094"/>
      <c r="AK145" s="1094"/>
      <c r="AL145" s="1094"/>
      <c r="AM145" s="1094"/>
      <c r="AN145" s="1094"/>
      <c r="AO145" s="1094"/>
      <c r="IN145" s="1023"/>
      <c r="IO145" s="1023"/>
      <c r="IP145" s="1023"/>
      <c r="IQ145" s="1023"/>
      <c r="IR145" s="1023"/>
      <c r="IS145" s="1023"/>
      <c r="IT145" s="1023"/>
      <c r="IU145" s="1023"/>
      <c r="IV145" s="1023"/>
    </row>
    <row r="146" spans="1:256" s="1083" customFormat="1" ht="12.75" customHeight="1">
      <c r="A146" s="1055" t="s">
        <v>809</v>
      </c>
      <c r="B146" s="1095" t="s">
        <v>810</v>
      </c>
      <c r="C146" s="1056" t="s">
        <v>793</v>
      </c>
      <c r="D146" s="1094" t="e">
        <f>'Edition 1'!B21</f>
        <v>#DIV/0!</v>
      </c>
      <c r="E146" s="1094"/>
      <c r="F146" s="1094"/>
      <c r="G146" s="1094"/>
      <c r="H146" s="1094"/>
      <c r="I146" s="1094"/>
      <c r="J146" s="1094"/>
      <c r="K146" s="1094"/>
      <c r="L146" s="1094"/>
      <c r="M146" s="1094"/>
      <c r="N146" s="1094"/>
      <c r="O146" s="1094"/>
      <c r="P146" s="1094"/>
      <c r="Q146" s="1094"/>
      <c r="R146" s="1094"/>
      <c r="S146" s="1094"/>
      <c r="T146" s="1094"/>
      <c r="U146" s="1094"/>
      <c r="V146" s="1094"/>
      <c r="W146" s="1094"/>
      <c r="X146" s="1094"/>
      <c r="Y146" s="1094"/>
      <c r="Z146" s="1094"/>
      <c r="AA146" s="1094"/>
      <c r="AB146" s="1094"/>
      <c r="AC146" s="1094"/>
      <c r="AD146" s="1094"/>
      <c r="AE146" s="1094"/>
      <c r="AF146" s="1094"/>
      <c r="AG146" s="1094"/>
      <c r="AH146" s="1094"/>
      <c r="AI146" s="1094"/>
      <c r="AJ146" s="1094"/>
      <c r="AK146" s="1094"/>
      <c r="AL146" s="1094"/>
      <c r="AM146" s="1094"/>
      <c r="AN146" s="1094"/>
      <c r="AO146" s="1094"/>
      <c r="IN146" s="1084"/>
      <c r="IO146" s="1084"/>
      <c r="IP146" s="1084"/>
      <c r="IQ146" s="1084"/>
      <c r="IR146" s="1084"/>
      <c r="IS146" s="1084"/>
      <c r="IT146" s="1084"/>
      <c r="IU146" s="1084"/>
      <c r="IV146" s="1084"/>
    </row>
    <row r="147" spans="1:256" s="1083" customFormat="1" ht="12.75" customHeight="1">
      <c r="A147" s="1055" t="s">
        <v>811</v>
      </c>
      <c r="B147" s="1095" t="s">
        <v>623</v>
      </c>
      <c r="C147" s="1056" t="s">
        <v>793</v>
      </c>
      <c r="D147" s="1094" t="e">
        <f>'Edition 1'!B22</f>
        <v>#DIV/0!</v>
      </c>
      <c r="E147" s="1094"/>
      <c r="F147" s="1094"/>
      <c r="G147" s="1094"/>
      <c r="H147" s="1094"/>
      <c r="I147" s="1094"/>
      <c r="J147" s="1094"/>
      <c r="K147" s="1094"/>
      <c r="L147" s="1094"/>
      <c r="M147" s="1094"/>
      <c r="N147" s="1094"/>
      <c r="O147" s="1094"/>
      <c r="P147" s="1094"/>
      <c r="Q147" s="1094"/>
      <c r="R147" s="1094"/>
      <c r="S147" s="1094"/>
      <c r="T147" s="1094"/>
      <c r="U147" s="1094"/>
      <c r="V147" s="1094"/>
      <c r="W147" s="1094"/>
      <c r="X147" s="1094"/>
      <c r="Y147" s="1094"/>
      <c r="Z147" s="1094"/>
      <c r="AA147" s="1094"/>
      <c r="AB147" s="1094"/>
      <c r="AC147" s="1094"/>
      <c r="AD147" s="1094"/>
      <c r="AE147" s="1094"/>
      <c r="AF147" s="1094"/>
      <c r="AG147" s="1094"/>
      <c r="AH147" s="1094"/>
      <c r="AI147" s="1094"/>
      <c r="AJ147" s="1094"/>
      <c r="AK147" s="1094"/>
      <c r="AL147" s="1094"/>
      <c r="AM147" s="1094"/>
      <c r="AN147" s="1094"/>
      <c r="AO147" s="1094"/>
      <c r="IN147" s="1023"/>
      <c r="IO147" s="1023"/>
      <c r="IP147" s="1023"/>
      <c r="IQ147" s="1023"/>
      <c r="IR147" s="1023"/>
      <c r="IS147" s="1023"/>
      <c r="IT147" s="1023"/>
      <c r="IU147" s="1023"/>
      <c r="IV147" s="1023"/>
    </row>
    <row r="148" spans="1:256" s="1083" customFormat="1" ht="12.75" customHeight="1">
      <c r="A148" s="1055" t="s">
        <v>812</v>
      </c>
      <c r="B148" s="1095" t="s">
        <v>624</v>
      </c>
      <c r="C148" s="1056" t="s">
        <v>793</v>
      </c>
      <c r="D148" s="1094" t="e">
        <f>'Edition 1'!B23</f>
        <v>#DIV/0!</v>
      </c>
      <c r="E148" s="1094"/>
      <c r="F148" s="1094"/>
      <c r="G148" s="1094"/>
      <c r="H148" s="1094"/>
      <c r="I148" s="1094"/>
      <c r="J148" s="1094"/>
      <c r="K148" s="1094"/>
      <c r="L148" s="1094"/>
      <c r="M148" s="1094"/>
      <c r="N148" s="1094"/>
      <c r="O148" s="1094"/>
      <c r="P148" s="1094"/>
      <c r="Q148" s="1094"/>
      <c r="R148" s="1094"/>
      <c r="S148" s="1094"/>
      <c r="T148" s="1094"/>
      <c r="U148" s="1094"/>
      <c r="V148" s="1094"/>
      <c r="W148" s="1094"/>
      <c r="X148" s="1094"/>
      <c r="Y148" s="1094"/>
      <c r="Z148" s="1094"/>
      <c r="AA148" s="1094"/>
      <c r="AB148" s="1094"/>
      <c r="AC148" s="1094"/>
      <c r="AD148" s="1094"/>
      <c r="AE148" s="1094"/>
      <c r="AF148" s="1094"/>
      <c r="AG148" s="1094"/>
      <c r="AH148" s="1094"/>
      <c r="AI148" s="1094"/>
      <c r="AJ148" s="1094"/>
      <c r="AK148" s="1094"/>
      <c r="AL148" s="1094"/>
      <c r="AM148" s="1094"/>
      <c r="AN148" s="1094"/>
      <c r="AO148" s="1094"/>
      <c r="IN148" s="1023"/>
      <c r="IO148" s="1023"/>
      <c r="IP148" s="1023"/>
      <c r="IQ148" s="1023"/>
      <c r="IR148" s="1023"/>
      <c r="IS148" s="1023"/>
      <c r="IT148" s="1023"/>
      <c r="IU148" s="1023"/>
      <c r="IV148" s="1023"/>
    </row>
    <row r="149" spans="1:256" s="1083" customFormat="1" ht="12.75" customHeight="1">
      <c r="A149" s="1055" t="s">
        <v>813</v>
      </c>
      <c r="B149" s="1060" t="s">
        <v>814</v>
      </c>
      <c r="C149" s="1056" t="s">
        <v>793</v>
      </c>
      <c r="D149" s="1094" t="e">
        <f>'Edition 1'!B24</f>
        <v>#N/A</v>
      </c>
      <c r="E149" s="1094"/>
      <c r="F149" s="1094"/>
      <c r="G149" s="1094"/>
      <c r="H149" s="1094"/>
      <c r="I149" s="1094"/>
      <c r="J149" s="1094"/>
      <c r="K149" s="1094"/>
      <c r="L149" s="1094"/>
      <c r="M149" s="1094"/>
      <c r="N149" s="1094"/>
      <c r="O149" s="1094"/>
      <c r="P149" s="1094"/>
      <c r="Q149" s="1094"/>
      <c r="R149" s="1094"/>
      <c r="S149" s="1094"/>
      <c r="T149" s="1094"/>
      <c r="U149" s="1094"/>
      <c r="V149" s="1094"/>
      <c r="W149" s="1094"/>
      <c r="X149" s="1094"/>
      <c r="Y149" s="1094"/>
      <c r="Z149" s="1094"/>
      <c r="AA149" s="1094"/>
      <c r="AB149" s="1094"/>
      <c r="AC149" s="1094"/>
      <c r="AD149" s="1094"/>
      <c r="AE149" s="1094"/>
      <c r="AF149" s="1094"/>
      <c r="AG149" s="1094"/>
      <c r="AH149" s="1094"/>
      <c r="AI149" s="1094"/>
      <c r="AJ149" s="1094"/>
      <c r="AK149" s="1094"/>
      <c r="AL149" s="1094"/>
      <c r="AM149" s="1094"/>
      <c r="AN149" s="1094"/>
      <c r="AO149" s="1094"/>
      <c r="IN149" s="1023"/>
      <c r="IO149" s="1023"/>
      <c r="IP149" s="1023"/>
      <c r="IQ149" s="1023"/>
      <c r="IR149" s="1023"/>
      <c r="IS149" s="1023"/>
      <c r="IT149" s="1023"/>
      <c r="IU149" s="1023"/>
      <c r="IV149" s="1023"/>
    </row>
    <row r="150" spans="1:256" s="1083" customFormat="1" ht="12.75" customHeight="1">
      <c r="A150" s="1055" t="s">
        <v>815</v>
      </c>
      <c r="B150" s="1060" t="s">
        <v>337</v>
      </c>
      <c r="C150" s="1056" t="s">
        <v>793</v>
      </c>
      <c r="D150" s="1094" t="e">
        <f>'Edition 1'!B25</f>
        <v>#N/A</v>
      </c>
      <c r="E150" s="1094"/>
      <c r="F150" s="1094"/>
      <c r="G150" s="1094"/>
      <c r="H150" s="1094"/>
      <c r="I150" s="1094"/>
      <c r="J150" s="1094"/>
      <c r="K150" s="1094"/>
      <c r="L150" s="1094"/>
      <c r="M150" s="1094"/>
      <c r="N150" s="1094"/>
      <c r="O150" s="1094"/>
      <c r="P150" s="1094"/>
      <c r="Q150" s="1094"/>
      <c r="R150" s="1094"/>
      <c r="S150" s="1094"/>
      <c r="T150" s="1094"/>
      <c r="U150" s="1094"/>
      <c r="V150" s="1094"/>
      <c r="W150" s="1094"/>
      <c r="X150" s="1094"/>
      <c r="Y150" s="1094"/>
      <c r="Z150" s="1094"/>
      <c r="AA150" s="1094"/>
      <c r="AB150" s="1094"/>
      <c r="AC150" s="1094"/>
      <c r="AD150" s="1094"/>
      <c r="AE150" s="1094"/>
      <c r="AF150" s="1094"/>
      <c r="AG150" s="1094"/>
      <c r="AH150" s="1094"/>
      <c r="AI150" s="1094"/>
      <c r="AJ150" s="1094"/>
      <c r="AK150" s="1094"/>
      <c r="AL150" s="1094"/>
      <c r="AM150" s="1094"/>
      <c r="AN150" s="1094"/>
      <c r="AO150" s="1094"/>
      <c r="IN150" s="1023"/>
      <c r="IO150" s="1023"/>
      <c r="IP150" s="1023"/>
      <c r="IQ150" s="1023"/>
      <c r="IR150" s="1023"/>
      <c r="IS150" s="1023"/>
      <c r="IT150" s="1023"/>
      <c r="IU150" s="1023"/>
      <c r="IV150" s="1023"/>
    </row>
    <row r="151" spans="1:256" s="1083" customFormat="1" ht="12.75" customHeight="1">
      <c r="A151" s="1055" t="s">
        <v>816</v>
      </c>
      <c r="B151" s="1060" t="s">
        <v>273</v>
      </c>
      <c r="C151" s="1056" t="s">
        <v>793</v>
      </c>
      <c r="D151" s="1094" t="e">
        <f>'Edition 1'!B26</f>
        <v>#N/A</v>
      </c>
      <c r="E151" s="1094"/>
      <c r="F151" s="1094"/>
      <c r="G151" s="1094"/>
      <c r="H151" s="1094"/>
      <c r="I151" s="1094"/>
      <c r="J151" s="1094"/>
      <c r="K151" s="1094"/>
      <c r="L151" s="1094"/>
      <c r="M151" s="1094"/>
      <c r="N151" s="1094"/>
      <c r="O151" s="1094"/>
      <c r="P151" s="1094"/>
      <c r="Q151" s="1094"/>
      <c r="R151" s="1094"/>
      <c r="S151" s="1094"/>
      <c r="T151" s="1094"/>
      <c r="U151" s="1094"/>
      <c r="V151" s="1094"/>
      <c r="W151" s="1094"/>
      <c r="X151" s="1094"/>
      <c r="Y151" s="1094"/>
      <c r="Z151" s="1094"/>
      <c r="AA151" s="1094"/>
      <c r="AB151" s="1094"/>
      <c r="AC151" s="1094"/>
      <c r="AD151" s="1094"/>
      <c r="AE151" s="1094"/>
      <c r="AF151" s="1094"/>
      <c r="AG151" s="1094"/>
      <c r="AH151" s="1094"/>
      <c r="AI151" s="1094"/>
      <c r="AJ151" s="1094"/>
      <c r="AK151" s="1094"/>
      <c r="AL151" s="1094"/>
      <c r="AM151" s="1094"/>
      <c r="AN151" s="1094"/>
      <c r="AO151" s="1094"/>
      <c r="IN151" s="1084"/>
      <c r="IO151" s="1084"/>
      <c r="IP151" s="1084"/>
      <c r="IQ151" s="1084"/>
      <c r="IR151" s="1084"/>
      <c r="IS151" s="1084"/>
      <c r="IT151" s="1084"/>
      <c r="IU151" s="1084"/>
      <c r="IV151" s="1088"/>
    </row>
    <row r="152" spans="1:256" s="1083" customFormat="1" ht="12.75" customHeight="1">
      <c r="A152" s="1055" t="s">
        <v>817</v>
      </c>
      <c r="B152" s="1060" t="s">
        <v>276</v>
      </c>
      <c r="C152" s="1056" t="s">
        <v>793</v>
      </c>
      <c r="D152" s="1094" t="e">
        <f>'Edition 1'!B27</f>
        <v>#N/A</v>
      </c>
      <c r="E152" s="1094"/>
      <c r="F152" s="1094"/>
      <c r="G152" s="1094"/>
      <c r="H152" s="1094"/>
      <c r="I152" s="1094"/>
      <c r="J152" s="1094"/>
      <c r="K152" s="1094"/>
      <c r="L152" s="1094"/>
      <c r="M152" s="1094"/>
      <c r="N152" s="1094"/>
      <c r="O152" s="1094"/>
      <c r="P152" s="1094"/>
      <c r="Q152" s="1094"/>
      <c r="R152" s="1094"/>
      <c r="S152" s="1094"/>
      <c r="T152" s="1094"/>
      <c r="U152" s="1094"/>
      <c r="V152" s="1094"/>
      <c r="W152" s="1094"/>
      <c r="X152" s="1094"/>
      <c r="Y152" s="1094"/>
      <c r="Z152" s="1094"/>
      <c r="AA152" s="1094"/>
      <c r="AB152" s="1094"/>
      <c r="AC152" s="1094"/>
      <c r="AD152" s="1094"/>
      <c r="AE152" s="1094"/>
      <c r="AF152" s="1094"/>
      <c r="AG152" s="1094"/>
      <c r="AH152" s="1094"/>
      <c r="AI152" s="1094"/>
      <c r="AJ152" s="1094"/>
      <c r="AK152" s="1094"/>
      <c r="AL152" s="1094"/>
      <c r="AM152" s="1094"/>
      <c r="AN152" s="1094"/>
      <c r="AO152" s="1094"/>
      <c r="IN152" s="1023"/>
      <c r="IO152" s="1023"/>
      <c r="IP152" s="1023"/>
      <c r="IQ152" s="1023"/>
      <c r="IR152" s="1023"/>
      <c r="IS152" s="1023"/>
      <c r="IT152" s="1023"/>
      <c r="IU152" s="1023"/>
      <c r="IV152" s="1023"/>
    </row>
    <row r="153" spans="1:256" s="1083" customFormat="1" ht="12.75" customHeight="1">
      <c r="A153" s="1055" t="s">
        <v>818</v>
      </c>
      <c r="B153" s="1060" t="s">
        <v>629</v>
      </c>
      <c r="C153" s="1056" t="s">
        <v>793</v>
      </c>
      <c r="D153" s="1094" t="e">
        <f>'Edition 1'!B28</f>
        <v>#N/A</v>
      </c>
      <c r="E153" s="1094"/>
      <c r="F153" s="1094"/>
      <c r="G153" s="1094"/>
      <c r="H153" s="1094"/>
      <c r="I153" s="1094"/>
      <c r="J153" s="1094"/>
      <c r="K153" s="1094"/>
      <c r="L153" s="1094"/>
      <c r="M153" s="1094"/>
      <c r="N153" s="1094"/>
      <c r="O153" s="1094"/>
      <c r="P153" s="1094"/>
      <c r="Q153" s="1094"/>
      <c r="R153" s="1094"/>
      <c r="S153" s="1094"/>
      <c r="T153" s="1094"/>
      <c r="U153" s="1094"/>
      <c r="V153" s="1094"/>
      <c r="W153" s="1094"/>
      <c r="X153" s="1094"/>
      <c r="Y153" s="1094"/>
      <c r="Z153" s="1094"/>
      <c r="AA153" s="1094"/>
      <c r="AB153" s="1094"/>
      <c r="AC153" s="1094"/>
      <c r="AD153" s="1094"/>
      <c r="AE153" s="1094"/>
      <c r="AF153" s="1094"/>
      <c r="AG153" s="1094"/>
      <c r="AH153" s="1094"/>
      <c r="AI153" s="1094"/>
      <c r="AJ153" s="1094"/>
      <c r="AK153" s="1094"/>
      <c r="AL153" s="1094"/>
      <c r="AM153" s="1094"/>
      <c r="AN153" s="1094"/>
      <c r="AO153" s="1094"/>
      <c r="IN153" s="1023"/>
      <c r="IO153" s="1023"/>
      <c r="IP153" s="1023"/>
      <c r="IQ153" s="1023"/>
      <c r="IR153" s="1023"/>
      <c r="IS153" s="1023"/>
      <c r="IT153" s="1023"/>
      <c r="IU153" s="1023"/>
      <c r="IV153" s="1023"/>
    </row>
    <row r="154" spans="1:256" s="1083" customFormat="1" ht="12.75" customHeight="1">
      <c r="A154" s="1055" t="s">
        <v>819</v>
      </c>
      <c r="B154" s="1060" t="s">
        <v>820</v>
      </c>
      <c r="C154" s="1056" t="s">
        <v>793</v>
      </c>
      <c r="D154" s="1094" t="e">
        <f>'Edition 1'!B29</f>
        <v>#N/A</v>
      </c>
      <c r="E154" s="1094"/>
      <c r="F154" s="1094"/>
      <c r="G154" s="1094"/>
      <c r="H154" s="1094"/>
      <c r="I154" s="1094"/>
      <c r="J154" s="1094"/>
      <c r="K154" s="1094"/>
      <c r="L154" s="1094"/>
      <c r="M154" s="1094"/>
      <c r="N154" s="1094"/>
      <c r="O154" s="1094"/>
      <c r="P154" s="1094"/>
      <c r="Q154" s="1094"/>
      <c r="R154" s="1094"/>
      <c r="S154" s="1094"/>
      <c r="T154" s="1094"/>
      <c r="U154" s="1094"/>
      <c r="V154" s="1094"/>
      <c r="W154" s="1094"/>
      <c r="X154" s="1094"/>
      <c r="Y154" s="1094"/>
      <c r="Z154" s="1094"/>
      <c r="AA154" s="1094"/>
      <c r="AB154" s="1094"/>
      <c r="AC154" s="1094"/>
      <c r="AD154" s="1094"/>
      <c r="AE154" s="1094"/>
      <c r="AF154" s="1094"/>
      <c r="AG154" s="1094"/>
      <c r="AH154" s="1094"/>
      <c r="AI154" s="1094"/>
      <c r="AJ154" s="1094"/>
      <c r="AK154" s="1094"/>
      <c r="AL154" s="1094"/>
      <c r="AM154" s="1094"/>
      <c r="AN154" s="1094"/>
      <c r="AO154" s="1094"/>
      <c r="IN154" s="1084"/>
      <c r="IO154" s="1084"/>
      <c r="IP154" s="1084"/>
      <c r="IQ154" s="1084"/>
      <c r="IR154" s="1084"/>
      <c r="IS154" s="1084"/>
      <c r="IT154" s="1084"/>
      <c r="IU154" s="1084"/>
      <c r="IV154" s="1088"/>
    </row>
    <row r="155" spans="1:256" s="1083" customFormat="1" ht="12.75" customHeight="1">
      <c r="A155" s="1055" t="s">
        <v>821</v>
      </c>
      <c r="B155" s="1060" t="s">
        <v>281</v>
      </c>
      <c r="C155" s="1056" t="s">
        <v>793</v>
      </c>
      <c r="D155" s="1094" t="e">
        <f>'Edition 1'!B30</f>
        <v>#N/A</v>
      </c>
      <c r="E155" s="1094"/>
      <c r="F155" s="1094"/>
      <c r="G155" s="1094"/>
      <c r="H155" s="1094"/>
      <c r="I155" s="1094"/>
      <c r="J155" s="1094"/>
      <c r="K155" s="1094"/>
      <c r="L155" s="1094"/>
      <c r="M155" s="1094"/>
      <c r="N155" s="1094"/>
      <c r="O155" s="1094"/>
      <c r="P155" s="1094"/>
      <c r="Q155" s="1094"/>
      <c r="R155" s="1094"/>
      <c r="S155" s="1094"/>
      <c r="T155" s="1094"/>
      <c r="U155" s="1094"/>
      <c r="V155" s="1094"/>
      <c r="W155" s="1094"/>
      <c r="X155" s="1094"/>
      <c r="Y155" s="1094"/>
      <c r="Z155" s="1094"/>
      <c r="AA155" s="1094"/>
      <c r="AB155" s="1094"/>
      <c r="AC155" s="1094"/>
      <c r="AD155" s="1094"/>
      <c r="AE155" s="1094"/>
      <c r="AF155" s="1094"/>
      <c r="AG155" s="1094"/>
      <c r="AH155" s="1094"/>
      <c r="AI155" s="1094"/>
      <c r="AJ155" s="1094"/>
      <c r="AK155" s="1094"/>
      <c r="AL155" s="1094"/>
      <c r="AM155" s="1094"/>
      <c r="AN155" s="1094"/>
      <c r="AO155" s="1094"/>
      <c r="IN155" s="1023"/>
      <c r="IO155" s="1023"/>
      <c r="IP155" s="1023"/>
      <c r="IQ155" s="1023"/>
      <c r="IR155" s="1023"/>
      <c r="IS155" s="1023"/>
      <c r="IT155" s="1023"/>
      <c r="IU155" s="1023"/>
      <c r="IV155" s="1023"/>
    </row>
    <row r="156" spans="1:256" s="1083" customFormat="1" ht="12.75" customHeight="1">
      <c r="A156" s="1055" t="s">
        <v>822</v>
      </c>
      <c r="B156" s="1060" t="s">
        <v>284</v>
      </c>
      <c r="C156" s="1056" t="s">
        <v>793</v>
      </c>
      <c r="D156" s="1094" t="e">
        <f>'Edition 1'!B31</f>
        <v>#N/A</v>
      </c>
      <c r="E156" s="1094"/>
      <c r="F156" s="1094"/>
      <c r="G156" s="1094"/>
      <c r="H156" s="1094"/>
      <c r="I156" s="1094"/>
      <c r="J156" s="1094"/>
      <c r="K156" s="1094"/>
      <c r="L156" s="1094"/>
      <c r="M156" s="1094"/>
      <c r="N156" s="1094"/>
      <c r="O156" s="1094"/>
      <c r="P156" s="1094"/>
      <c r="Q156" s="1094"/>
      <c r="R156" s="1094"/>
      <c r="S156" s="1094"/>
      <c r="T156" s="1094"/>
      <c r="U156" s="1094"/>
      <c r="V156" s="1094"/>
      <c r="W156" s="1094"/>
      <c r="X156" s="1094"/>
      <c r="Y156" s="1094"/>
      <c r="Z156" s="1094"/>
      <c r="AA156" s="1094"/>
      <c r="AB156" s="1094"/>
      <c r="AC156" s="1094"/>
      <c r="AD156" s="1094"/>
      <c r="AE156" s="1094"/>
      <c r="AF156" s="1094"/>
      <c r="AG156" s="1094"/>
      <c r="AH156" s="1094"/>
      <c r="AI156" s="1094"/>
      <c r="AJ156" s="1094"/>
      <c r="AK156" s="1094"/>
      <c r="AL156" s="1094"/>
      <c r="AM156" s="1094"/>
      <c r="AN156" s="1094"/>
      <c r="AO156" s="1094"/>
      <c r="IN156" s="1023"/>
      <c r="IO156" s="1023"/>
      <c r="IP156" s="1023"/>
      <c r="IQ156" s="1023"/>
      <c r="IR156" s="1023"/>
      <c r="IS156" s="1023"/>
      <c r="IT156" s="1023"/>
      <c r="IU156" s="1023"/>
      <c r="IV156" s="1023"/>
    </row>
    <row r="157" spans="1:256" s="1083" customFormat="1" ht="12.75" customHeight="1">
      <c r="A157" s="1055" t="s">
        <v>823</v>
      </c>
      <c r="B157" s="1060" t="s">
        <v>288</v>
      </c>
      <c r="C157" s="1056" t="s">
        <v>793</v>
      </c>
      <c r="D157" s="1094" t="e">
        <f>'Edition 1'!B32</f>
        <v>#N/A</v>
      </c>
      <c r="E157" s="1094"/>
      <c r="F157" s="1094"/>
      <c r="G157" s="1094"/>
      <c r="H157" s="1094"/>
      <c r="I157" s="1094"/>
      <c r="J157" s="1094"/>
      <c r="K157" s="1094"/>
      <c r="L157" s="1094"/>
      <c r="M157" s="1094"/>
      <c r="N157" s="1094"/>
      <c r="O157" s="1094"/>
      <c r="P157" s="1094"/>
      <c r="Q157" s="1094"/>
      <c r="R157" s="1094"/>
      <c r="S157" s="1094"/>
      <c r="T157" s="1094"/>
      <c r="U157" s="1094"/>
      <c r="V157" s="1094"/>
      <c r="W157" s="1094"/>
      <c r="X157" s="1094"/>
      <c r="Y157" s="1094"/>
      <c r="Z157" s="1094"/>
      <c r="AA157" s="1094"/>
      <c r="AB157" s="1094"/>
      <c r="AC157" s="1094"/>
      <c r="AD157" s="1094"/>
      <c r="AE157" s="1094"/>
      <c r="AF157" s="1094"/>
      <c r="AG157" s="1094"/>
      <c r="AH157" s="1094"/>
      <c r="AI157" s="1094"/>
      <c r="AJ157" s="1094"/>
      <c r="AK157" s="1094"/>
      <c r="AL157" s="1094"/>
      <c r="AM157" s="1094"/>
      <c r="AN157" s="1094"/>
      <c r="AO157" s="1094"/>
      <c r="IN157" s="1023"/>
      <c r="IO157" s="1023"/>
      <c r="IP157" s="1023"/>
      <c r="IQ157" s="1023"/>
      <c r="IR157" s="1023"/>
      <c r="IS157" s="1023"/>
      <c r="IT157" s="1023"/>
      <c r="IU157" s="1023"/>
      <c r="IV157" s="1023"/>
    </row>
    <row r="158" spans="1:256" s="1083" customFormat="1" ht="12.75" customHeight="1">
      <c r="A158" s="1055" t="s">
        <v>824</v>
      </c>
      <c r="B158" s="1060" t="s">
        <v>825</v>
      </c>
      <c r="C158" s="1056" t="s">
        <v>793</v>
      </c>
      <c r="D158" s="1094" t="e">
        <f>'Edition 1'!B33</f>
        <v>#N/A</v>
      </c>
      <c r="E158" s="1094"/>
      <c r="F158" s="1094"/>
      <c r="G158" s="1094"/>
      <c r="H158" s="1094"/>
      <c r="I158" s="1094"/>
      <c r="J158" s="1094"/>
      <c r="K158" s="1094"/>
      <c r="L158" s="1094"/>
      <c r="M158" s="1094"/>
      <c r="N158" s="1094"/>
      <c r="O158" s="1094"/>
      <c r="P158" s="1094"/>
      <c r="Q158" s="1094"/>
      <c r="R158" s="1094"/>
      <c r="S158" s="1094"/>
      <c r="T158" s="1094"/>
      <c r="U158" s="1094"/>
      <c r="V158" s="1094"/>
      <c r="W158" s="1094"/>
      <c r="X158" s="1094"/>
      <c r="Y158" s="1094"/>
      <c r="Z158" s="1094"/>
      <c r="AA158" s="1094"/>
      <c r="AB158" s="1094"/>
      <c r="AC158" s="1094"/>
      <c r="AD158" s="1094"/>
      <c r="AE158" s="1094"/>
      <c r="AF158" s="1094"/>
      <c r="AG158" s="1094"/>
      <c r="AH158" s="1094"/>
      <c r="AI158" s="1094"/>
      <c r="AJ158" s="1094"/>
      <c r="AK158" s="1094"/>
      <c r="AL158" s="1094"/>
      <c r="AM158" s="1094"/>
      <c r="AN158" s="1094"/>
      <c r="AO158" s="1094"/>
      <c r="IN158" s="1023"/>
      <c r="IO158" s="1023"/>
      <c r="IP158" s="1023"/>
      <c r="IQ158" s="1023"/>
      <c r="IR158" s="1023"/>
      <c r="IS158" s="1023"/>
      <c r="IT158" s="1023"/>
      <c r="IU158" s="1023"/>
      <c r="IV158" s="1023"/>
    </row>
    <row r="159" spans="1:256" s="1083" customFormat="1" ht="12.75" customHeight="1">
      <c r="A159" s="1055" t="s">
        <v>826</v>
      </c>
      <c r="B159" s="1060" t="s">
        <v>292</v>
      </c>
      <c r="C159" s="1056" t="s">
        <v>793</v>
      </c>
      <c r="D159" s="1094" t="e">
        <f>'Edition 1'!B34</f>
        <v>#N/A</v>
      </c>
      <c r="E159" s="1094"/>
      <c r="F159" s="1094"/>
      <c r="G159" s="1094"/>
      <c r="H159" s="1094"/>
      <c r="I159" s="1094"/>
      <c r="J159" s="1094"/>
      <c r="K159" s="1094"/>
      <c r="L159" s="1094"/>
      <c r="M159" s="1094"/>
      <c r="N159" s="1094"/>
      <c r="O159" s="1094"/>
      <c r="P159" s="1094"/>
      <c r="Q159" s="1094"/>
      <c r="R159" s="1094"/>
      <c r="S159" s="1094"/>
      <c r="T159" s="1094"/>
      <c r="U159" s="1094"/>
      <c r="V159" s="1094"/>
      <c r="W159" s="1094"/>
      <c r="X159" s="1094"/>
      <c r="Y159" s="1094"/>
      <c r="Z159" s="1094"/>
      <c r="AA159" s="1094"/>
      <c r="AB159" s="1094"/>
      <c r="AC159" s="1094"/>
      <c r="AD159" s="1094"/>
      <c r="AE159" s="1094"/>
      <c r="AF159" s="1094"/>
      <c r="AG159" s="1094"/>
      <c r="AH159" s="1094"/>
      <c r="AI159" s="1094"/>
      <c r="AJ159" s="1094"/>
      <c r="AK159" s="1094"/>
      <c r="AL159" s="1094"/>
      <c r="AM159" s="1094"/>
      <c r="AN159" s="1094"/>
      <c r="AO159" s="1094"/>
      <c r="IN159" s="1084"/>
      <c r="IO159" s="1084"/>
      <c r="IP159" s="1084"/>
      <c r="IQ159" s="1084"/>
      <c r="IR159" s="1084"/>
      <c r="IS159" s="1084"/>
      <c r="IT159" s="1084"/>
      <c r="IU159" s="1084"/>
      <c r="IV159" s="1085"/>
    </row>
    <row r="160" spans="1:256" s="1083" customFormat="1" ht="12.75" customHeight="1">
      <c r="A160" s="1055" t="s">
        <v>827</v>
      </c>
      <c r="B160" s="1060" t="s">
        <v>439</v>
      </c>
      <c r="C160" s="1056" t="s">
        <v>793</v>
      </c>
      <c r="D160" s="1094" t="e">
        <f>'Edition 1'!B35</f>
        <v>#DIV/0!</v>
      </c>
      <c r="E160" s="1094"/>
      <c r="F160" s="1094"/>
      <c r="G160" s="1094"/>
      <c r="H160" s="1094"/>
      <c r="I160" s="1094"/>
      <c r="J160" s="1094"/>
      <c r="K160" s="1094"/>
      <c r="L160" s="1094"/>
      <c r="M160" s="1094"/>
      <c r="N160" s="1094"/>
      <c r="O160" s="1094"/>
      <c r="P160" s="1094"/>
      <c r="Q160" s="1094"/>
      <c r="R160" s="1094"/>
      <c r="S160" s="1094"/>
      <c r="T160" s="1094"/>
      <c r="U160" s="1094"/>
      <c r="V160" s="1094"/>
      <c r="W160" s="1094"/>
      <c r="X160" s="1094"/>
      <c r="Y160" s="1094"/>
      <c r="Z160" s="1094"/>
      <c r="AA160" s="1094"/>
      <c r="AB160" s="1094"/>
      <c r="AC160" s="1094"/>
      <c r="AD160" s="1094"/>
      <c r="AE160" s="1094"/>
      <c r="AF160" s="1094"/>
      <c r="AG160" s="1094"/>
      <c r="AH160" s="1094"/>
      <c r="AI160" s="1094"/>
      <c r="AJ160" s="1094"/>
      <c r="AK160" s="1094"/>
      <c r="AL160" s="1094"/>
      <c r="AM160" s="1094"/>
      <c r="AN160" s="1094"/>
      <c r="AO160" s="1094"/>
      <c r="IN160" s="1023"/>
      <c r="IO160" s="1023"/>
      <c r="IP160" s="1023"/>
      <c r="IQ160" s="1023"/>
      <c r="IR160" s="1023"/>
      <c r="IS160" s="1023"/>
      <c r="IT160" s="1023"/>
      <c r="IU160" s="1023"/>
      <c r="IV160" s="1023"/>
    </row>
    <row r="161" spans="1:256" s="1083" customFormat="1" ht="12.75" customHeight="1">
      <c r="A161" s="1055" t="s">
        <v>828</v>
      </c>
      <c r="B161" s="1060" t="s">
        <v>300</v>
      </c>
      <c r="C161" s="1056" t="s">
        <v>793</v>
      </c>
      <c r="D161" s="1094" t="e">
        <f>'Edition 1'!B36</f>
        <v>#N/A</v>
      </c>
      <c r="E161" s="1094"/>
      <c r="F161" s="1094"/>
      <c r="G161" s="1094"/>
      <c r="H161" s="1094"/>
      <c r="I161" s="1094"/>
      <c r="J161" s="1094"/>
      <c r="K161" s="1094"/>
      <c r="L161" s="1094"/>
      <c r="M161" s="1094"/>
      <c r="N161" s="1094"/>
      <c r="O161" s="1094"/>
      <c r="P161" s="1094"/>
      <c r="Q161" s="1094"/>
      <c r="R161" s="1094"/>
      <c r="S161" s="1094"/>
      <c r="T161" s="1094"/>
      <c r="U161" s="1094"/>
      <c r="V161" s="1094"/>
      <c r="W161" s="1094"/>
      <c r="X161" s="1094"/>
      <c r="Y161" s="1094"/>
      <c r="Z161" s="1094"/>
      <c r="AA161" s="1094"/>
      <c r="AB161" s="1094"/>
      <c r="AC161" s="1094"/>
      <c r="AD161" s="1094"/>
      <c r="AE161" s="1094"/>
      <c r="AF161" s="1094"/>
      <c r="AG161" s="1094"/>
      <c r="AH161" s="1094"/>
      <c r="AI161" s="1094"/>
      <c r="AJ161" s="1094"/>
      <c r="AK161" s="1094"/>
      <c r="AL161" s="1094"/>
      <c r="AM161" s="1094"/>
      <c r="AN161" s="1094"/>
      <c r="AO161" s="1094"/>
      <c r="IN161" s="1023"/>
      <c r="IO161" s="1023"/>
      <c r="IP161" s="1023"/>
      <c r="IQ161" s="1023"/>
      <c r="IR161" s="1023"/>
      <c r="IS161" s="1023"/>
      <c r="IT161" s="1023"/>
      <c r="IU161" s="1023"/>
      <c r="IV161" s="1023"/>
    </row>
    <row r="162" spans="1:256" s="1083" customFormat="1" ht="12.75" customHeight="1">
      <c r="A162" s="1055" t="s">
        <v>829</v>
      </c>
      <c r="B162" s="1060" t="s">
        <v>304</v>
      </c>
      <c r="C162" s="1056" t="s">
        <v>793</v>
      </c>
      <c r="D162" s="1094" t="e">
        <f>'Edition 1'!B37</f>
        <v>#N/A</v>
      </c>
      <c r="E162" s="1094"/>
      <c r="F162" s="1094"/>
      <c r="G162" s="1094"/>
      <c r="H162" s="1094"/>
      <c r="I162" s="1094"/>
      <c r="J162" s="1094"/>
      <c r="K162" s="1094"/>
      <c r="L162" s="1094"/>
      <c r="M162" s="1094"/>
      <c r="N162" s="1094"/>
      <c r="O162" s="1094"/>
      <c r="P162" s="1094"/>
      <c r="Q162" s="1094"/>
      <c r="R162" s="1094"/>
      <c r="S162" s="1094"/>
      <c r="T162" s="1094"/>
      <c r="U162" s="1094"/>
      <c r="V162" s="1094"/>
      <c r="W162" s="1094"/>
      <c r="X162" s="1094"/>
      <c r="Y162" s="1094"/>
      <c r="Z162" s="1094"/>
      <c r="AA162" s="1094"/>
      <c r="AB162" s="1094"/>
      <c r="AC162" s="1094"/>
      <c r="AD162" s="1094"/>
      <c r="AE162" s="1094"/>
      <c r="AF162" s="1094"/>
      <c r="AG162" s="1094"/>
      <c r="AH162" s="1094"/>
      <c r="AI162" s="1094"/>
      <c r="AJ162" s="1094"/>
      <c r="AK162" s="1094"/>
      <c r="AL162" s="1094"/>
      <c r="AM162" s="1094"/>
      <c r="AN162" s="1094"/>
      <c r="AO162" s="1094"/>
      <c r="IN162" s="1023"/>
      <c r="IO162" s="1023"/>
      <c r="IP162" s="1023"/>
      <c r="IQ162" s="1023"/>
      <c r="IR162" s="1023"/>
      <c r="IS162" s="1023"/>
      <c r="IT162" s="1023"/>
      <c r="IU162" s="1023"/>
      <c r="IV162" s="1023"/>
    </row>
    <row r="163" spans="1:256" s="1083" customFormat="1" ht="12.75" customHeight="1">
      <c r="A163" s="1055" t="s">
        <v>830</v>
      </c>
      <c r="B163" s="1060" t="s">
        <v>831</v>
      </c>
      <c r="C163" s="1056" t="s">
        <v>793</v>
      </c>
      <c r="D163" s="1094" t="e">
        <f>'Edition 1'!B38</f>
        <v>#N/A</v>
      </c>
      <c r="E163" s="1094"/>
      <c r="F163" s="1094"/>
      <c r="G163" s="1094"/>
      <c r="H163" s="1094"/>
      <c r="I163" s="1094"/>
      <c r="J163" s="1094"/>
      <c r="K163" s="1094"/>
      <c r="L163" s="1094"/>
      <c r="M163" s="1094"/>
      <c r="N163" s="1094"/>
      <c r="O163" s="1094"/>
      <c r="P163" s="1094"/>
      <c r="Q163" s="1094"/>
      <c r="R163" s="1094"/>
      <c r="S163" s="1094"/>
      <c r="T163" s="1094"/>
      <c r="U163" s="1094"/>
      <c r="V163" s="1094"/>
      <c r="W163" s="1094"/>
      <c r="X163" s="1094"/>
      <c r="Y163" s="1094"/>
      <c r="Z163" s="1094"/>
      <c r="AA163" s="1094"/>
      <c r="AB163" s="1094"/>
      <c r="AC163" s="1094"/>
      <c r="AD163" s="1094"/>
      <c r="AE163" s="1094"/>
      <c r="AF163" s="1094"/>
      <c r="AG163" s="1094"/>
      <c r="AH163" s="1094"/>
      <c r="AI163" s="1094"/>
      <c r="AJ163" s="1094"/>
      <c r="AK163" s="1094"/>
      <c r="AL163" s="1094"/>
      <c r="AM163" s="1094"/>
      <c r="AN163" s="1094"/>
      <c r="AO163" s="1094"/>
      <c r="IN163" s="1023"/>
      <c r="IO163" s="1023"/>
      <c r="IP163" s="1023"/>
      <c r="IQ163" s="1023"/>
      <c r="IR163" s="1023"/>
      <c r="IS163" s="1023"/>
      <c r="IT163" s="1023"/>
      <c r="IU163" s="1023"/>
      <c r="IV163" s="1023"/>
    </row>
    <row r="164" spans="1:256" s="1083" customFormat="1" ht="12.75" customHeight="1">
      <c r="A164" s="1055" t="s">
        <v>832</v>
      </c>
      <c r="B164" s="1060" t="s">
        <v>833</v>
      </c>
      <c r="C164" s="1056" t="s">
        <v>793</v>
      </c>
      <c r="D164" s="1094" t="e">
        <f>'Edition 1'!B39</f>
        <v>#N/A</v>
      </c>
      <c r="E164" s="1094"/>
      <c r="F164" s="1094"/>
      <c r="G164" s="1094"/>
      <c r="H164" s="1094"/>
      <c r="I164" s="1094"/>
      <c r="J164" s="1094"/>
      <c r="K164" s="1094"/>
      <c r="L164" s="1094"/>
      <c r="M164" s="1094"/>
      <c r="N164" s="1094"/>
      <c r="O164" s="1094"/>
      <c r="P164" s="1094"/>
      <c r="Q164" s="1094"/>
      <c r="R164" s="1094"/>
      <c r="S164" s="1094"/>
      <c r="T164" s="1094"/>
      <c r="U164" s="1094"/>
      <c r="V164" s="1094"/>
      <c r="W164" s="1094"/>
      <c r="X164" s="1094"/>
      <c r="Y164" s="1094"/>
      <c r="Z164" s="1094"/>
      <c r="AA164" s="1094"/>
      <c r="AB164" s="1094"/>
      <c r="AC164" s="1094"/>
      <c r="AD164" s="1094"/>
      <c r="AE164" s="1094"/>
      <c r="AF164" s="1094"/>
      <c r="AG164" s="1094"/>
      <c r="AH164" s="1094"/>
      <c r="AI164" s="1094"/>
      <c r="AJ164" s="1094"/>
      <c r="AK164" s="1094"/>
      <c r="AL164" s="1094"/>
      <c r="AM164" s="1094"/>
      <c r="AN164" s="1094"/>
      <c r="AO164" s="1094"/>
      <c r="IN164" s="1023"/>
      <c r="IO164" s="1023"/>
      <c r="IP164" s="1023"/>
      <c r="IQ164" s="1023"/>
      <c r="IR164" s="1023"/>
      <c r="IS164" s="1023"/>
      <c r="IT164" s="1023"/>
      <c r="IU164" s="1023"/>
      <c r="IV164" s="1023"/>
    </row>
    <row r="165" spans="1:256" s="1083" customFormat="1" ht="12.75" customHeight="1">
      <c r="A165" s="1055" t="s">
        <v>834</v>
      </c>
      <c r="B165" s="1060" t="s">
        <v>835</v>
      </c>
      <c r="C165" s="1056" t="s">
        <v>793</v>
      </c>
      <c r="D165" s="1094" t="e">
        <f>'Edition 1'!B40</f>
        <v>#N/A</v>
      </c>
      <c r="E165" s="1094"/>
      <c r="F165" s="1094"/>
      <c r="G165" s="1094"/>
      <c r="H165" s="1094"/>
      <c r="I165" s="1094"/>
      <c r="J165" s="1094"/>
      <c r="K165" s="1094"/>
      <c r="L165" s="1094"/>
      <c r="M165" s="1094"/>
      <c r="N165" s="1094"/>
      <c r="O165" s="1094"/>
      <c r="P165" s="1094"/>
      <c r="Q165" s="1094"/>
      <c r="R165" s="1094"/>
      <c r="S165" s="1094"/>
      <c r="T165" s="1094"/>
      <c r="U165" s="1094"/>
      <c r="V165" s="1094"/>
      <c r="W165" s="1094"/>
      <c r="X165" s="1094"/>
      <c r="Y165" s="1094"/>
      <c r="Z165" s="1094"/>
      <c r="AA165" s="1094"/>
      <c r="AB165" s="1094"/>
      <c r="AC165" s="1094"/>
      <c r="AD165" s="1094"/>
      <c r="AE165" s="1094"/>
      <c r="AF165" s="1094"/>
      <c r="AG165" s="1094"/>
      <c r="AH165" s="1094"/>
      <c r="AI165" s="1094"/>
      <c r="AJ165" s="1094"/>
      <c r="AK165" s="1094"/>
      <c r="AL165" s="1094"/>
      <c r="AM165" s="1094"/>
      <c r="AN165" s="1094"/>
      <c r="AO165" s="1094"/>
      <c r="IN165" s="1023"/>
      <c r="IO165" s="1023"/>
      <c r="IP165" s="1023"/>
      <c r="IQ165" s="1023"/>
      <c r="IR165" s="1023"/>
      <c r="IS165" s="1023"/>
      <c r="IT165" s="1023"/>
      <c r="IU165" s="1023"/>
      <c r="IV165" s="1023"/>
    </row>
    <row r="166" spans="1:256" s="1096" customFormat="1" ht="12.75" customHeight="1">
      <c r="A166" s="1055" t="s">
        <v>836</v>
      </c>
      <c r="B166" s="1060" t="s">
        <v>837</v>
      </c>
      <c r="C166" s="1056" t="s">
        <v>793</v>
      </c>
      <c r="D166" s="1094" t="e">
        <f>'Edition 1'!B41</f>
        <v>#DIV/0!</v>
      </c>
      <c r="E166" s="1094"/>
      <c r="F166" s="1094"/>
      <c r="G166" s="1094"/>
      <c r="H166" s="1094"/>
      <c r="I166" s="1094"/>
      <c r="J166" s="1094"/>
      <c r="K166" s="1094"/>
      <c r="L166" s="1094"/>
      <c r="M166" s="1094"/>
      <c r="N166" s="1094"/>
      <c r="O166" s="1094"/>
      <c r="P166" s="1094"/>
      <c r="Q166" s="1094"/>
      <c r="R166" s="1094"/>
      <c r="S166" s="1094"/>
      <c r="T166" s="1094"/>
      <c r="U166" s="1094"/>
      <c r="V166" s="1094"/>
      <c r="W166" s="1094"/>
      <c r="X166" s="1094"/>
      <c r="Y166" s="1094"/>
      <c r="Z166" s="1094"/>
      <c r="AA166" s="1094"/>
      <c r="AB166" s="1094"/>
      <c r="AC166" s="1094"/>
      <c r="AD166" s="1094"/>
      <c r="AE166" s="1094"/>
      <c r="AF166" s="1094"/>
      <c r="AG166" s="1094"/>
      <c r="AH166" s="1094"/>
      <c r="AI166" s="1094"/>
      <c r="AJ166" s="1094"/>
      <c r="AK166" s="1094"/>
      <c r="AL166" s="1094"/>
      <c r="AM166" s="1094"/>
      <c r="AN166" s="1094"/>
      <c r="AO166" s="1094"/>
      <c r="IN166" s="1023"/>
      <c r="IO166" s="1023"/>
      <c r="IP166" s="1023"/>
      <c r="IQ166" s="1023"/>
      <c r="IR166" s="1023"/>
      <c r="IS166" s="1023"/>
      <c r="IT166" s="1023"/>
      <c r="IU166" s="1023"/>
      <c r="IV166" s="1023"/>
    </row>
    <row r="167" spans="1:256" s="1097" customFormat="1" ht="12.75" customHeight="1">
      <c r="A167" s="1055" t="s">
        <v>838</v>
      </c>
      <c r="B167" s="1060" t="s">
        <v>443</v>
      </c>
      <c r="C167" s="1056" t="s">
        <v>793</v>
      </c>
      <c r="D167" s="1094" t="e">
        <f>'Edition 1'!B42</f>
        <v>#DIV/0!</v>
      </c>
      <c r="E167" s="1094"/>
      <c r="F167" s="1094"/>
      <c r="G167" s="1094"/>
      <c r="H167" s="1094"/>
      <c r="I167" s="1094"/>
      <c r="J167" s="1094"/>
      <c r="K167" s="1094"/>
      <c r="L167" s="1094"/>
      <c r="M167" s="1094"/>
      <c r="N167" s="1094"/>
      <c r="O167" s="1094"/>
      <c r="P167" s="1094"/>
      <c r="Q167" s="1094"/>
      <c r="R167" s="1094"/>
      <c r="S167" s="1094"/>
      <c r="T167" s="1094"/>
      <c r="U167" s="1094"/>
      <c r="V167" s="1094"/>
      <c r="W167" s="1094"/>
      <c r="X167" s="1094"/>
      <c r="Y167" s="1094"/>
      <c r="Z167" s="1094"/>
      <c r="AA167" s="1094"/>
      <c r="AB167" s="1094"/>
      <c r="AC167" s="1094"/>
      <c r="AD167" s="1094"/>
      <c r="AE167" s="1094"/>
      <c r="AF167" s="1094"/>
      <c r="AG167" s="1094"/>
      <c r="AH167" s="1094"/>
      <c r="AI167" s="1094"/>
      <c r="AJ167" s="1094"/>
      <c r="AK167" s="1094"/>
      <c r="AL167" s="1094"/>
      <c r="AM167" s="1094"/>
      <c r="AN167" s="1094"/>
      <c r="AO167" s="1094"/>
      <c r="IN167" s="1023"/>
      <c r="IO167" s="1023"/>
      <c r="IP167" s="1023"/>
      <c r="IQ167" s="1023"/>
      <c r="IR167" s="1023"/>
      <c r="IS167" s="1023"/>
      <c r="IT167" s="1023"/>
      <c r="IU167" s="1023"/>
      <c r="IV167" s="1023"/>
    </row>
    <row r="168" spans="1:256" s="1098" customFormat="1" ht="12.75" customHeight="1">
      <c r="A168" s="1055" t="s">
        <v>839</v>
      </c>
      <c r="B168" s="1060" t="s">
        <v>444</v>
      </c>
      <c r="C168" s="1056" t="s">
        <v>793</v>
      </c>
      <c r="D168" s="1094" t="e">
        <f>'Edition 1'!B43</f>
        <v>#N/A</v>
      </c>
      <c r="E168" s="1094"/>
      <c r="F168" s="1094"/>
      <c r="G168" s="1094"/>
      <c r="H168" s="1094"/>
      <c r="I168" s="1094"/>
      <c r="J168" s="1094"/>
      <c r="K168" s="1094"/>
      <c r="L168" s="1094"/>
      <c r="M168" s="1094"/>
      <c r="N168" s="1094"/>
      <c r="O168" s="1094"/>
      <c r="P168" s="1094"/>
      <c r="Q168" s="1094"/>
      <c r="R168" s="1094"/>
      <c r="S168" s="1094"/>
      <c r="T168" s="1094"/>
      <c r="U168" s="1094"/>
      <c r="V168" s="1094"/>
      <c r="W168" s="1094"/>
      <c r="X168" s="1094"/>
      <c r="Y168" s="1094"/>
      <c r="Z168" s="1094"/>
      <c r="AA168" s="1094"/>
      <c r="AB168" s="1094"/>
      <c r="AC168" s="1094"/>
      <c r="AD168" s="1094"/>
      <c r="AE168" s="1094"/>
      <c r="AF168" s="1094"/>
      <c r="AG168" s="1094"/>
      <c r="AH168" s="1094"/>
      <c r="AI168" s="1094"/>
      <c r="AJ168" s="1094"/>
      <c r="AK168" s="1094"/>
      <c r="AL168" s="1094"/>
      <c r="AM168" s="1094"/>
      <c r="AN168" s="1094"/>
      <c r="AO168" s="1094"/>
      <c r="IN168" s="1023"/>
      <c r="IO168" s="1023"/>
      <c r="IP168" s="1023"/>
      <c r="IQ168" s="1023"/>
      <c r="IR168" s="1023"/>
      <c r="IS168" s="1023"/>
      <c r="IT168" s="1023"/>
      <c r="IU168" s="1023"/>
      <c r="IV168" s="1023"/>
    </row>
    <row r="169" spans="1:256" s="1098" customFormat="1" ht="12.75" customHeight="1">
      <c r="A169" s="1055" t="s">
        <v>840</v>
      </c>
      <c r="B169" s="1060" t="s">
        <v>634</v>
      </c>
      <c r="C169" s="1056" t="s">
        <v>793</v>
      </c>
      <c r="D169" s="1094" t="e">
        <f>'Edition 1'!B44</f>
        <v>#N/A</v>
      </c>
      <c r="E169" s="1094"/>
      <c r="F169" s="1094"/>
      <c r="G169" s="1094"/>
      <c r="H169" s="1094"/>
      <c r="I169" s="1094"/>
      <c r="J169" s="1094"/>
      <c r="K169" s="1094"/>
      <c r="L169" s="1094"/>
      <c r="M169" s="1094"/>
      <c r="N169" s="1094"/>
      <c r="O169" s="1094"/>
      <c r="P169" s="1094"/>
      <c r="Q169" s="1094"/>
      <c r="R169" s="1094"/>
      <c r="S169" s="1094"/>
      <c r="T169" s="1094"/>
      <c r="U169" s="1094"/>
      <c r="V169" s="1094"/>
      <c r="W169" s="1094"/>
      <c r="X169" s="1094"/>
      <c r="Y169" s="1094"/>
      <c r="Z169" s="1094"/>
      <c r="AA169" s="1094"/>
      <c r="AB169" s="1094"/>
      <c r="AC169" s="1094"/>
      <c r="AD169" s="1094"/>
      <c r="AE169" s="1094"/>
      <c r="AF169" s="1094"/>
      <c r="AG169" s="1094"/>
      <c r="AH169" s="1094"/>
      <c r="AI169" s="1094"/>
      <c r="AJ169" s="1094"/>
      <c r="AK169" s="1094"/>
      <c r="AL169" s="1094"/>
      <c r="AM169" s="1094"/>
      <c r="AN169" s="1094"/>
      <c r="AO169" s="1094"/>
      <c r="IN169" s="1023"/>
      <c r="IO169" s="1023"/>
      <c r="IP169" s="1023"/>
      <c r="IQ169" s="1023"/>
      <c r="IR169" s="1023"/>
      <c r="IS169" s="1023"/>
      <c r="IT169" s="1023"/>
      <c r="IU169" s="1023"/>
      <c r="IV169" s="1023"/>
    </row>
    <row r="170" spans="1:256" s="1100" customFormat="1" ht="12.75" customHeight="1">
      <c r="A170" s="1055" t="s">
        <v>841</v>
      </c>
      <c r="B170" s="1060" t="s">
        <v>635</v>
      </c>
      <c r="C170" s="1056" t="s">
        <v>793</v>
      </c>
      <c r="D170" s="1094" t="e">
        <f>'Edition 1'!B45</f>
        <v>#N/A</v>
      </c>
      <c r="E170" s="1094"/>
      <c r="F170" s="1094"/>
      <c r="G170" s="1094"/>
      <c r="H170" s="1094"/>
      <c r="I170" s="1094"/>
      <c r="J170" s="1094"/>
      <c r="K170" s="1094"/>
      <c r="L170" s="1094"/>
      <c r="M170" s="1094"/>
      <c r="N170" s="1094"/>
      <c r="O170" s="1094"/>
      <c r="P170" s="1094"/>
      <c r="Q170" s="1094"/>
      <c r="R170" s="1094"/>
      <c r="S170" s="1094"/>
      <c r="T170" s="1094"/>
      <c r="U170" s="1094"/>
      <c r="V170" s="1094"/>
      <c r="W170" s="1094"/>
      <c r="X170" s="1094"/>
      <c r="Y170" s="1094"/>
      <c r="Z170" s="1094"/>
      <c r="AA170" s="1094"/>
      <c r="AB170" s="1094"/>
      <c r="AC170" s="1094"/>
      <c r="AD170" s="1094"/>
      <c r="AE170" s="1094"/>
      <c r="AF170" s="1094"/>
      <c r="AG170" s="1094"/>
      <c r="AH170" s="1094"/>
      <c r="AI170" s="1094"/>
      <c r="AJ170" s="1094"/>
      <c r="AK170" s="1094"/>
      <c r="AL170" s="1094"/>
      <c r="AM170" s="1094"/>
      <c r="AN170" s="1094"/>
      <c r="AO170" s="1094"/>
      <c r="AP170" s="1099"/>
      <c r="AQ170" s="1099"/>
      <c r="IN170" s="1023"/>
      <c r="IO170" s="1023"/>
      <c r="IP170" s="1023"/>
      <c r="IQ170" s="1023"/>
      <c r="IR170" s="1023"/>
      <c r="IS170" s="1023"/>
      <c r="IT170" s="1023"/>
      <c r="IU170" s="1023"/>
      <c r="IV170" s="1023"/>
    </row>
    <row r="171" spans="1:256" s="1100" customFormat="1" ht="12.75" customHeight="1">
      <c r="A171" s="1055" t="s">
        <v>842</v>
      </c>
      <c r="B171" s="1060" t="s">
        <v>843</v>
      </c>
      <c r="C171" s="1056" t="s">
        <v>793</v>
      </c>
      <c r="D171" s="1094" t="e">
        <f>'Edition 1'!B47</f>
        <v>#DIV/0!</v>
      </c>
      <c r="E171" s="1094"/>
      <c r="F171" s="1094"/>
      <c r="G171" s="1094"/>
      <c r="H171" s="1094"/>
      <c r="I171" s="1094"/>
      <c r="J171" s="1094"/>
      <c r="K171" s="1094"/>
      <c r="L171" s="1094"/>
      <c r="M171" s="1094"/>
      <c r="N171" s="1094"/>
      <c r="O171" s="1094"/>
      <c r="P171" s="1094"/>
      <c r="Q171" s="1094"/>
      <c r="R171" s="1094"/>
      <c r="S171" s="1094"/>
      <c r="T171" s="1094"/>
      <c r="U171" s="1094"/>
      <c r="V171" s="1094"/>
      <c r="W171" s="1094"/>
      <c r="X171" s="1094"/>
      <c r="Y171" s="1094"/>
      <c r="Z171" s="1094"/>
      <c r="AA171" s="1094"/>
      <c r="AB171" s="1094"/>
      <c r="AC171" s="1094"/>
      <c r="AD171" s="1094"/>
      <c r="AE171" s="1094"/>
      <c r="AF171" s="1094"/>
      <c r="AG171" s="1094"/>
      <c r="AH171" s="1094"/>
      <c r="AI171" s="1094"/>
      <c r="AJ171" s="1094"/>
      <c r="AK171" s="1094"/>
      <c r="AL171" s="1094"/>
      <c r="AM171" s="1094"/>
      <c r="AN171" s="1094"/>
      <c r="AO171" s="1094"/>
      <c r="AP171" s="1099"/>
      <c r="AQ171" s="1099"/>
      <c r="IN171" s="1023"/>
      <c r="IO171" s="1023"/>
      <c r="IP171" s="1023"/>
      <c r="IQ171" s="1023"/>
      <c r="IR171" s="1023"/>
      <c r="IS171" s="1023"/>
      <c r="IT171" s="1023"/>
      <c r="IU171" s="1023"/>
      <c r="IV171" s="1023"/>
    </row>
    <row r="172" spans="1:256" s="1101" customFormat="1" ht="12.75" customHeight="1">
      <c r="A172" s="1055" t="s">
        <v>844</v>
      </c>
      <c r="B172" s="1060" t="s">
        <v>637</v>
      </c>
      <c r="C172" s="1056" t="s">
        <v>793</v>
      </c>
      <c r="D172" s="1094">
        <f>'Edition 1'!B48</f>
        <v>0</v>
      </c>
      <c r="E172" s="1094"/>
      <c r="F172" s="1094"/>
      <c r="G172" s="1094"/>
      <c r="H172" s="1094"/>
      <c r="I172" s="1094"/>
      <c r="J172" s="1094"/>
      <c r="K172" s="1094"/>
      <c r="L172" s="1094"/>
      <c r="M172" s="1094"/>
      <c r="N172" s="1094"/>
      <c r="O172" s="1094"/>
      <c r="P172" s="1094"/>
      <c r="Q172" s="1094"/>
      <c r="R172" s="1094"/>
      <c r="S172" s="1094"/>
      <c r="T172" s="1094"/>
      <c r="U172" s="1094"/>
      <c r="V172" s="1094"/>
      <c r="W172" s="1094"/>
      <c r="X172" s="1094"/>
      <c r="Y172" s="1094"/>
      <c r="Z172" s="1094"/>
      <c r="AA172" s="1094"/>
      <c r="AB172" s="1094"/>
      <c r="AC172" s="1094"/>
      <c r="AD172" s="1094"/>
      <c r="AE172" s="1094"/>
      <c r="AF172" s="1094"/>
      <c r="AG172" s="1094"/>
      <c r="AH172" s="1094"/>
      <c r="AI172" s="1094"/>
      <c r="AJ172" s="1094"/>
      <c r="AK172" s="1094"/>
      <c r="AL172" s="1094"/>
      <c r="AM172" s="1094"/>
      <c r="AN172" s="1094"/>
      <c r="AO172" s="1094"/>
      <c r="IN172" s="1023"/>
      <c r="IO172" s="1023"/>
      <c r="IP172" s="1023"/>
      <c r="IQ172" s="1023"/>
      <c r="IR172" s="1023"/>
      <c r="IS172" s="1023"/>
      <c r="IT172" s="1023"/>
      <c r="IU172" s="1023"/>
      <c r="IV172" s="1023"/>
    </row>
    <row r="173" spans="1:256" s="1096" customFormat="1" ht="12.75" customHeight="1">
      <c r="A173" s="1055" t="s">
        <v>845</v>
      </c>
      <c r="B173" s="1060" t="s">
        <v>846</v>
      </c>
      <c r="C173" s="1056" t="s">
        <v>793</v>
      </c>
      <c r="D173" s="1094" t="e">
        <f>'Edition 1'!B49</f>
        <v>#DIV/0!</v>
      </c>
      <c r="E173" s="1094"/>
      <c r="F173" s="1094"/>
      <c r="G173" s="1094"/>
      <c r="H173" s="1094"/>
      <c r="I173" s="1094"/>
      <c r="J173" s="1094"/>
      <c r="K173" s="1094"/>
      <c r="L173" s="1094"/>
      <c r="M173" s="1094"/>
      <c r="N173" s="1094"/>
      <c r="O173" s="1094"/>
      <c r="P173" s="1094"/>
      <c r="Q173" s="1094"/>
      <c r="R173" s="1094"/>
      <c r="S173" s="1094"/>
      <c r="T173" s="1094"/>
      <c r="U173" s="1094"/>
      <c r="V173" s="1094"/>
      <c r="W173" s="1094"/>
      <c r="X173" s="1094"/>
      <c r="Y173" s="1094"/>
      <c r="Z173" s="1094"/>
      <c r="AA173" s="1094"/>
      <c r="AB173" s="1094"/>
      <c r="AC173" s="1094"/>
      <c r="AD173" s="1094"/>
      <c r="AE173" s="1094"/>
      <c r="AF173" s="1094"/>
      <c r="AG173" s="1094"/>
      <c r="AH173" s="1094"/>
      <c r="AI173" s="1094"/>
      <c r="AJ173" s="1094"/>
      <c r="AK173" s="1094"/>
      <c r="AL173" s="1094"/>
      <c r="AM173" s="1094"/>
      <c r="AN173" s="1094"/>
      <c r="AO173" s="1094"/>
      <c r="AP173" s="1101"/>
      <c r="AQ173" s="1101"/>
      <c r="IN173" s="1023"/>
      <c r="IO173" s="1023"/>
      <c r="IP173" s="1023"/>
      <c r="IQ173" s="1023"/>
      <c r="IR173" s="1023"/>
      <c r="IS173" s="1023"/>
      <c r="IT173" s="1023"/>
      <c r="IU173" s="1023"/>
      <c r="IV173" s="1023"/>
    </row>
    <row r="174" spans="1:256" s="1096" customFormat="1" ht="12.75" customHeight="1">
      <c r="A174" s="1055" t="s">
        <v>847</v>
      </c>
      <c r="B174" s="1060" t="s">
        <v>848</v>
      </c>
      <c r="C174" s="1056" t="s">
        <v>793</v>
      </c>
      <c r="D174" s="1094" t="e">
        <f>'Edition 1'!B50</f>
        <v>#DIV/0!</v>
      </c>
      <c r="E174" s="1094"/>
      <c r="F174" s="1094"/>
      <c r="G174" s="1094"/>
      <c r="H174" s="1094"/>
      <c r="I174" s="1094"/>
      <c r="J174" s="1094"/>
      <c r="K174" s="1094"/>
      <c r="L174" s="1094"/>
      <c r="M174" s="1094"/>
      <c r="N174" s="1094"/>
      <c r="O174" s="1094"/>
      <c r="P174" s="1094"/>
      <c r="Q174" s="1094"/>
      <c r="R174" s="1094"/>
      <c r="S174" s="1094"/>
      <c r="T174" s="1094"/>
      <c r="U174" s="1094"/>
      <c r="V174" s="1094"/>
      <c r="W174" s="1094"/>
      <c r="X174" s="1094"/>
      <c r="Y174" s="1094"/>
      <c r="Z174" s="1094"/>
      <c r="AA174" s="1094"/>
      <c r="AB174" s="1094"/>
      <c r="AC174" s="1094"/>
      <c r="AD174" s="1094"/>
      <c r="AE174" s="1094"/>
      <c r="AF174" s="1094"/>
      <c r="AG174" s="1094"/>
      <c r="AH174" s="1094"/>
      <c r="AI174" s="1094"/>
      <c r="AJ174" s="1094"/>
      <c r="AK174" s="1094"/>
      <c r="AL174" s="1094"/>
      <c r="AM174" s="1094"/>
      <c r="AN174" s="1094"/>
      <c r="AO174" s="1094"/>
      <c r="AP174" s="1101"/>
      <c r="AQ174" s="1101"/>
      <c r="IN174" s="1023"/>
      <c r="IO174" s="1023"/>
      <c r="IP174" s="1023"/>
      <c r="IQ174" s="1023"/>
      <c r="IR174" s="1023"/>
      <c r="IS174" s="1023"/>
      <c r="IT174" s="1023"/>
      <c r="IU174" s="1023"/>
      <c r="IV174" s="1023"/>
    </row>
    <row r="175" spans="1:256" s="1096" customFormat="1" ht="12.75" customHeight="1">
      <c r="A175" s="1055" t="s">
        <v>849</v>
      </c>
      <c r="B175" s="1060" t="s">
        <v>694</v>
      </c>
      <c r="C175" s="1056" t="s">
        <v>793</v>
      </c>
      <c r="D175" s="1094" t="e">
        <f>'Edition 1'!B51</f>
        <v>#DIV/0!</v>
      </c>
      <c r="E175" s="1094"/>
      <c r="F175" s="1094"/>
      <c r="G175" s="1094"/>
      <c r="H175" s="1094"/>
      <c r="I175" s="1094"/>
      <c r="J175" s="1094"/>
      <c r="K175" s="1094"/>
      <c r="L175" s="1094"/>
      <c r="M175" s="1094"/>
      <c r="N175" s="1094"/>
      <c r="O175" s="1094"/>
      <c r="P175" s="1094"/>
      <c r="Q175" s="1094"/>
      <c r="R175" s="1094"/>
      <c r="S175" s="1094"/>
      <c r="T175" s="1094"/>
      <c r="U175" s="1094"/>
      <c r="V175" s="1094"/>
      <c r="W175" s="1094"/>
      <c r="X175" s="1094"/>
      <c r="Y175" s="1094"/>
      <c r="Z175" s="1094"/>
      <c r="AA175" s="1094"/>
      <c r="AB175" s="1094"/>
      <c r="AC175" s="1094"/>
      <c r="AD175" s="1094"/>
      <c r="AE175" s="1094"/>
      <c r="AF175" s="1094"/>
      <c r="AG175" s="1094"/>
      <c r="AH175" s="1094"/>
      <c r="AI175" s="1094"/>
      <c r="AJ175" s="1094"/>
      <c r="AK175" s="1094"/>
      <c r="AL175" s="1094"/>
      <c r="AM175" s="1094"/>
      <c r="AN175" s="1094"/>
      <c r="AO175" s="1094"/>
      <c r="AP175" s="1101"/>
      <c r="AQ175" s="1101"/>
      <c r="IN175" s="1023"/>
      <c r="IO175" s="1023"/>
      <c r="IP175" s="1023"/>
      <c r="IQ175" s="1023"/>
      <c r="IR175" s="1023"/>
      <c r="IS175" s="1023"/>
      <c r="IT175" s="1023"/>
      <c r="IU175" s="1023"/>
      <c r="IV175" s="1023"/>
    </row>
    <row r="176" spans="1:256" s="1096" customFormat="1" ht="12.75" customHeight="1">
      <c r="A176" s="1055" t="s">
        <v>850</v>
      </c>
      <c r="B176" s="1060" t="s">
        <v>696</v>
      </c>
      <c r="C176" s="1056" t="s">
        <v>793</v>
      </c>
      <c r="D176" s="1094" t="e">
        <f>'Edition 1'!B53</f>
        <v>#DIV/0!</v>
      </c>
      <c r="E176" s="1094"/>
      <c r="F176" s="1094"/>
      <c r="G176" s="1094"/>
      <c r="H176" s="1094"/>
      <c r="I176" s="1094"/>
      <c r="J176" s="1094"/>
      <c r="K176" s="1094"/>
      <c r="L176" s="1094"/>
      <c r="M176" s="1094"/>
      <c r="N176" s="1094"/>
      <c r="O176" s="1094"/>
      <c r="P176" s="1094"/>
      <c r="Q176" s="1094"/>
      <c r="R176" s="1094"/>
      <c r="S176" s="1094"/>
      <c r="T176" s="1094"/>
      <c r="U176" s="1094"/>
      <c r="V176" s="1094"/>
      <c r="W176" s="1094"/>
      <c r="X176" s="1094"/>
      <c r="Y176" s="1094"/>
      <c r="Z176" s="1094"/>
      <c r="AA176" s="1094"/>
      <c r="AB176" s="1094"/>
      <c r="AC176" s="1094"/>
      <c r="AD176" s="1094"/>
      <c r="AE176" s="1094"/>
      <c r="AF176" s="1094"/>
      <c r="AG176" s="1094"/>
      <c r="AH176" s="1094"/>
      <c r="AI176" s="1094"/>
      <c r="AJ176" s="1094"/>
      <c r="AK176" s="1094"/>
      <c r="AL176" s="1094"/>
      <c r="AM176" s="1094"/>
      <c r="AN176" s="1094"/>
      <c r="AO176" s="1094"/>
      <c r="AP176" s="1101"/>
      <c r="AQ176" s="1101"/>
      <c r="IN176" s="1023"/>
      <c r="IO176" s="1023"/>
      <c r="IP176" s="1023"/>
      <c r="IQ176" s="1023"/>
      <c r="IR176" s="1023"/>
      <c r="IS176" s="1023"/>
      <c r="IT176" s="1023"/>
      <c r="IU176" s="1023"/>
      <c r="IV176" s="1023"/>
    </row>
    <row r="177" spans="1:256" s="1096" customFormat="1" ht="12.75" customHeight="1">
      <c r="A177" s="1055" t="s">
        <v>851</v>
      </c>
      <c r="B177" s="1060" t="s">
        <v>698</v>
      </c>
      <c r="C177" s="1056" t="s">
        <v>793</v>
      </c>
      <c r="D177" s="1094" t="e">
        <f>'Edition 1'!B54</f>
        <v>#DIV/0!</v>
      </c>
      <c r="E177" s="1094"/>
      <c r="F177" s="1094"/>
      <c r="G177" s="1094"/>
      <c r="H177" s="1094"/>
      <c r="I177" s="1094"/>
      <c r="J177" s="1094"/>
      <c r="K177" s="1094"/>
      <c r="L177" s="1094"/>
      <c r="M177" s="1094"/>
      <c r="N177" s="1094"/>
      <c r="O177" s="1094"/>
      <c r="P177" s="1094"/>
      <c r="Q177" s="1094"/>
      <c r="R177" s="1094"/>
      <c r="S177" s="1094"/>
      <c r="T177" s="1094"/>
      <c r="U177" s="1094"/>
      <c r="V177" s="1094"/>
      <c r="W177" s="1094"/>
      <c r="X177" s="1094"/>
      <c r="Y177" s="1094"/>
      <c r="Z177" s="1094"/>
      <c r="AA177" s="1094"/>
      <c r="AB177" s="1094"/>
      <c r="AC177" s="1094"/>
      <c r="AD177" s="1094"/>
      <c r="AE177" s="1094"/>
      <c r="AF177" s="1094"/>
      <c r="AG177" s="1094"/>
      <c r="AH177" s="1094"/>
      <c r="AI177" s="1094"/>
      <c r="AJ177" s="1094"/>
      <c r="AK177" s="1094"/>
      <c r="AL177" s="1094"/>
      <c r="AM177" s="1094"/>
      <c r="AN177" s="1094"/>
      <c r="AO177" s="1094"/>
      <c r="AP177" s="1101"/>
      <c r="AQ177" s="1101"/>
      <c r="IN177" s="1023"/>
      <c r="IO177" s="1023"/>
      <c r="IP177" s="1023"/>
      <c r="IQ177" s="1023"/>
      <c r="IR177" s="1023"/>
      <c r="IS177" s="1023"/>
      <c r="IT177" s="1023"/>
      <c r="IU177" s="1023"/>
      <c r="IV177" s="1023"/>
    </row>
    <row r="178" spans="1:256" s="1096" customFormat="1" ht="12.75" customHeight="1">
      <c r="A178" s="1055" t="s">
        <v>852</v>
      </c>
      <c r="B178" s="1060" t="s">
        <v>853</v>
      </c>
      <c r="C178" s="1056" t="s">
        <v>793</v>
      </c>
      <c r="D178" s="1103" t="e">
        <f>'Edition 1'!B57</f>
        <v>#DIV/0!</v>
      </c>
      <c r="E178" s="1103"/>
      <c r="F178" s="1103"/>
      <c r="G178" s="1103"/>
      <c r="H178" s="1103"/>
      <c r="I178" s="1103"/>
      <c r="J178" s="1103"/>
      <c r="K178" s="1103"/>
      <c r="L178" s="1103"/>
      <c r="M178" s="1103"/>
      <c r="N178" s="1103"/>
      <c r="O178" s="1103"/>
      <c r="P178" s="1103"/>
      <c r="Q178" s="1103"/>
      <c r="R178" s="1103"/>
      <c r="S178" s="1103"/>
      <c r="T178" s="1103"/>
      <c r="U178" s="1103"/>
      <c r="V178" s="1103"/>
      <c r="W178" s="1103"/>
      <c r="X178" s="1103"/>
      <c r="Y178" s="1103"/>
      <c r="Z178" s="1103"/>
      <c r="AA178" s="1103"/>
      <c r="AB178" s="1103"/>
      <c r="AC178" s="1103"/>
      <c r="AD178" s="1103"/>
      <c r="AE178" s="1103"/>
      <c r="AF178" s="1103"/>
      <c r="AG178" s="1103"/>
      <c r="AH178" s="1103"/>
      <c r="AI178" s="1103"/>
      <c r="AJ178" s="1103"/>
      <c r="AK178" s="1103"/>
      <c r="AL178" s="1103"/>
      <c r="AM178" s="1103"/>
      <c r="AN178" s="1103"/>
      <c r="AO178" s="1103"/>
      <c r="AP178" s="1101"/>
      <c r="AQ178" s="1101"/>
      <c r="IN178" s="1023"/>
      <c r="IO178" s="1023"/>
      <c r="IP178" s="1023"/>
      <c r="IQ178" s="1023"/>
      <c r="IR178" s="1023"/>
      <c r="IS178" s="1023"/>
      <c r="IT178" s="1023"/>
      <c r="IU178" s="1023"/>
      <c r="IV178" s="1023"/>
    </row>
    <row r="179" spans="1:256" s="1102" customFormat="1" ht="12.75" customHeight="1">
      <c r="A179" s="1055" t="s">
        <v>854</v>
      </c>
      <c r="B179" s="1060" t="s">
        <v>853</v>
      </c>
      <c r="C179" s="1056" t="s">
        <v>855</v>
      </c>
      <c r="D179" s="1104" t="e">
        <f>'Edition 1'!B59</f>
        <v>#DIV/0!</v>
      </c>
      <c r="E179" s="1104"/>
      <c r="F179" s="1104"/>
      <c r="G179" s="1104"/>
      <c r="H179" s="1104"/>
      <c r="I179" s="1104"/>
      <c r="J179" s="1104"/>
      <c r="K179" s="1104"/>
      <c r="L179" s="1104"/>
      <c r="M179" s="1104"/>
      <c r="N179" s="1104"/>
      <c r="O179" s="1104"/>
      <c r="P179" s="1104"/>
      <c r="Q179" s="1104"/>
      <c r="R179" s="1104"/>
      <c r="S179" s="1104"/>
      <c r="T179" s="1104"/>
      <c r="U179" s="1104"/>
      <c r="V179" s="1104"/>
      <c r="W179" s="1104"/>
      <c r="X179" s="1104"/>
      <c r="Y179" s="1104"/>
      <c r="Z179" s="1104"/>
      <c r="AA179" s="1104"/>
      <c r="AB179" s="1104"/>
      <c r="AC179" s="1104"/>
      <c r="AD179" s="1104"/>
      <c r="AE179" s="1104"/>
      <c r="AF179" s="1104"/>
      <c r="AG179" s="1104"/>
      <c r="AH179" s="1104"/>
      <c r="AI179" s="1104"/>
      <c r="AJ179" s="1104"/>
      <c r="AK179" s="1104"/>
      <c r="AL179" s="1104"/>
      <c r="AM179" s="1104"/>
      <c r="AN179" s="1104"/>
      <c r="AO179" s="1104"/>
      <c r="IN179" s="1084"/>
      <c r="IO179" s="1084"/>
      <c r="IP179" s="1084"/>
      <c r="IQ179" s="1084"/>
      <c r="IR179" s="1084"/>
      <c r="IS179" s="1084"/>
      <c r="IT179" s="1084"/>
      <c r="IU179" s="1084"/>
      <c r="IV179" s="1084"/>
    </row>
    <row r="180" spans="1:256" s="1083" customFormat="1" ht="12.75" customHeight="1">
      <c r="A180" s="1055" t="s">
        <v>856</v>
      </c>
      <c r="B180" s="1060" t="s">
        <v>857</v>
      </c>
      <c r="C180" s="1056" t="s">
        <v>778</v>
      </c>
      <c r="D180" s="1105" t="e">
        <f>'Edition 1'!B61</f>
        <v>#N/A</v>
      </c>
      <c r="E180" s="1105"/>
      <c r="F180" s="1105"/>
      <c r="G180" s="1105"/>
      <c r="H180" s="1105"/>
      <c r="I180" s="1105"/>
      <c r="J180" s="1105"/>
      <c r="K180" s="1105"/>
      <c r="L180" s="1105"/>
      <c r="M180" s="1105"/>
      <c r="N180" s="1105"/>
      <c r="O180" s="1105"/>
      <c r="P180" s="1105"/>
      <c r="Q180" s="1105"/>
      <c r="R180" s="1105"/>
      <c r="S180" s="1105"/>
      <c r="T180" s="1105"/>
      <c r="U180" s="1105"/>
      <c r="V180" s="1105"/>
      <c r="W180" s="1105"/>
      <c r="X180" s="1105"/>
      <c r="Y180" s="1105"/>
      <c r="Z180" s="1105"/>
      <c r="AA180" s="1105"/>
      <c r="AB180" s="1105"/>
      <c r="AC180" s="1105"/>
      <c r="AD180" s="1105"/>
      <c r="AE180" s="1105"/>
      <c r="AF180" s="1105"/>
      <c r="AG180" s="1105"/>
      <c r="AH180" s="1105"/>
      <c r="AI180" s="1105"/>
      <c r="AJ180" s="1105"/>
      <c r="AK180" s="1105"/>
      <c r="AL180" s="1105"/>
      <c r="AM180" s="1105"/>
      <c r="AN180" s="1105"/>
      <c r="AO180" s="1105"/>
      <c r="IN180" s="1023"/>
      <c r="IO180" s="1023"/>
      <c r="IP180" s="1023"/>
      <c r="IQ180" s="1023"/>
      <c r="IR180" s="1023"/>
      <c r="IS180" s="1023"/>
      <c r="IT180" s="1023"/>
      <c r="IU180" s="1023"/>
      <c r="IV180" s="1023"/>
    </row>
    <row r="181" spans="1:256" s="1083" customFormat="1" ht="12.75" customHeight="1">
      <c r="A181" s="1055" t="s">
        <v>858</v>
      </c>
      <c r="B181" s="1060" t="s">
        <v>859</v>
      </c>
      <c r="C181" s="1056" t="s">
        <v>778</v>
      </c>
      <c r="D181" s="1105" t="e">
        <f>UMOnsTOTCAP</f>
        <v>#N/A</v>
      </c>
      <c r="E181" s="1105"/>
      <c r="F181" s="1105"/>
      <c r="G181" s="1105"/>
      <c r="H181" s="1105"/>
      <c r="I181" s="1105"/>
      <c r="J181" s="1105"/>
      <c r="K181" s="1105"/>
      <c r="L181" s="1105"/>
      <c r="M181" s="1105"/>
      <c r="N181" s="1105"/>
      <c r="O181" s="1105"/>
      <c r="P181" s="1105"/>
      <c r="Q181" s="1105"/>
      <c r="R181" s="1105"/>
      <c r="S181" s="1105"/>
      <c r="T181" s="1105"/>
      <c r="U181" s="1105"/>
      <c r="V181" s="1105"/>
      <c r="W181" s="1105"/>
      <c r="X181" s="1105"/>
      <c r="Y181" s="1105"/>
      <c r="Z181" s="1105"/>
      <c r="AA181" s="1105"/>
      <c r="AB181" s="1105"/>
      <c r="AC181" s="1105"/>
      <c r="AD181" s="1105"/>
      <c r="AE181" s="1105"/>
      <c r="AF181" s="1105"/>
      <c r="AG181" s="1105"/>
      <c r="AH181" s="1105"/>
      <c r="AI181" s="1105"/>
      <c r="AJ181" s="1105"/>
      <c r="AK181" s="1105"/>
      <c r="AL181" s="1105"/>
      <c r="AM181" s="1105"/>
      <c r="AN181" s="1105"/>
      <c r="AO181" s="1105"/>
      <c r="IN181" s="1023"/>
      <c r="IO181" s="1023"/>
      <c r="IP181" s="1023"/>
      <c r="IQ181" s="1023"/>
      <c r="IR181" s="1023"/>
      <c r="IS181" s="1023"/>
      <c r="IT181" s="1023"/>
      <c r="IU181" s="1023"/>
      <c r="IV181" s="1023"/>
    </row>
    <row r="182" spans="1:256" s="1083" customFormat="1" ht="12.75" customHeight="1">
      <c r="A182" s="1055" t="s">
        <v>860</v>
      </c>
      <c r="B182" s="1060" t="s">
        <v>861</v>
      </c>
      <c r="C182" s="1056" t="s">
        <v>108</v>
      </c>
      <c r="D182" s="1106" t="e">
        <f>'Edition 1'!B63</f>
        <v>#N/A</v>
      </c>
      <c r="E182" s="1106"/>
      <c r="F182" s="1106"/>
      <c r="G182" s="1106"/>
      <c r="H182" s="1106"/>
      <c r="I182" s="1106"/>
      <c r="J182" s="1106"/>
      <c r="K182" s="1106"/>
      <c r="L182" s="1106"/>
      <c r="M182" s="1106"/>
      <c r="N182" s="1106"/>
      <c r="O182" s="1106"/>
      <c r="P182" s="1106"/>
      <c r="Q182" s="1106"/>
      <c r="R182" s="1106"/>
      <c r="S182" s="1106"/>
      <c r="T182" s="1106"/>
      <c r="U182" s="1106"/>
      <c r="V182" s="1106"/>
      <c r="W182" s="1106"/>
      <c r="X182" s="1106"/>
      <c r="Y182" s="1106"/>
      <c r="Z182" s="1106"/>
      <c r="AA182" s="1106"/>
      <c r="AB182" s="1106"/>
      <c r="AC182" s="1106"/>
      <c r="AD182" s="1106"/>
      <c r="AE182" s="1106"/>
      <c r="AF182" s="1106"/>
      <c r="AG182" s="1106"/>
      <c r="AH182" s="1106"/>
      <c r="AI182" s="1106"/>
      <c r="AJ182" s="1106"/>
      <c r="AK182" s="1106"/>
      <c r="AL182" s="1106"/>
      <c r="AM182" s="1106"/>
      <c r="AN182" s="1106"/>
      <c r="AO182" s="1106"/>
      <c r="IN182" s="1023"/>
      <c r="IO182" s="1023"/>
      <c r="IP182" s="1023"/>
      <c r="IQ182" s="1023"/>
      <c r="IR182" s="1023"/>
      <c r="IS182" s="1023"/>
      <c r="IT182" s="1023"/>
      <c r="IU182" s="1023"/>
      <c r="IV182" s="1023"/>
    </row>
    <row r="183" spans="1:256" s="1083" customFormat="1" ht="12.75" customHeight="1">
      <c r="A183" s="1055" t="s">
        <v>862</v>
      </c>
      <c r="B183" s="1060" t="s">
        <v>863</v>
      </c>
      <c r="C183" s="1056" t="s">
        <v>108</v>
      </c>
      <c r="D183" s="1106" t="e">
        <f>Cuisine!C44</f>
        <v>#N/A</v>
      </c>
      <c r="E183" s="1106"/>
      <c r="F183" s="1106"/>
      <c r="G183" s="1106"/>
      <c r="H183" s="1106"/>
      <c r="I183" s="1106"/>
      <c r="J183" s="1106"/>
      <c r="K183" s="1106"/>
      <c r="L183" s="1106"/>
      <c r="M183" s="1106"/>
      <c r="N183" s="1106"/>
      <c r="O183" s="1106"/>
      <c r="P183" s="1106"/>
      <c r="Q183" s="1106"/>
      <c r="R183" s="1106"/>
      <c r="S183" s="1106"/>
      <c r="T183" s="1106"/>
      <c r="U183" s="1106"/>
      <c r="V183" s="1106"/>
      <c r="W183" s="1106"/>
      <c r="X183" s="1106"/>
      <c r="Y183" s="1106"/>
      <c r="Z183" s="1106"/>
      <c r="AA183" s="1106"/>
      <c r="AB183" s="1106"/>
      <c r="AC183" s="1106"/>
      <c r="AD183" s="1106"/>
      <c r="AE183" s="1106"/>
      <c r="AF183" s="1106"/>
      <c r="AG183" s="1106"/>
      <c r="AH183" s="1106"/>
      <c r="AI183" s="1106"/>
      <c r="AJ183" s="1106"/>
      <c r="AK183" s="1106"/>
      <c r="AL183" s="1106"/>
      <c r="AM183" s="1106"/>
      <c r="AN183" s="1106"/>
      <c r="AO183" s="1106"/>
      <c r="IN183" s="1023"/>
      <c r="IO183" s="1023"/>
      <c r="IP183" s="1023"/>
      <c r="IQ183" s="1023"/>
      <c r="IR183" s="1023"/>
      <c r="IS183" s="1023"/>
      <c r="IT183" s="1023"/>
      <c r="IU183" s="1023"/>
      <c r="IV183" s="1023"/>
    </row>
    <row r="184" spans="1:256" s="1083" customFormat="1" ht="12.75" customHeight="1">
      <c r="A184" s="1055" t="s">
        <v>864</v>
      </c>
      <c r="B184" s="1060" t="s">
        <v>865</v>
      </c>
      <c r="C184" s="1056" t="s">
        <v>793</v>
      </c>
      <c r="D184" s="1107" t="e">
        <f>'Edition 2'!F10</f>
        <v>#DIV/0!</v>
      </c>
      <c r="E184" s="1107"/>
      <c r="F184" s="1107"/>
      <c r="G184" s="1107"/>
      <c r="H184" s="1107"/>
      <c r="I184" s="1107"/>
      <c r="J184" s="1107"/>
      <c r="K184" s="1107"/>
      <c r="L184" s="1107"/>
      <c r="M184" s="1107"/>
      <c r="N184" s="1107"/>
      <c r="O184" s="1107"/>
      <c r="P184" s="1107"/>
      <c r="Q184" s="1107"/>
      <c r="R184" s="1107"/>
      <c r="S184" s="1107"/>
      <c r="T184" s="1107"/>
      <c r="U184" s="1107"/>
      <c r="V184" s="1107"/>
      <c r="W184" s="1107"/>
      <c r="X184" s="1107"/>
      <c r="Y184" s="1107"/>
      <c r="Z184" s="1107"/>
      <c r="AA184" s="1107"/>
      <c r="AB184" s="1107"/>
      <c r="AC184" s="1107"/>
      <c r="AD184" s="1107"/>
      <c r="AE184" s="1107"/>
      <c r="AF184" s="1107"/>
      <c r="AG184" s="1107"/>
      <c r="AH184" s="1107"/>
      <c r="AI184" s="1107"/>
      <c r="AJ184" s="1107"/>
      <c r="AK184" s="1107"/>
      <c r="AL184" s="1107"/>
      <c r="AM184" s="1107"/>
      <c r="AN184" s="1107"/>
      <c r="AO184" s="1107"/>
      <c r="IN184" s="1023"/>
      <c r="IO184" s="1023"/>
      <c r="IP184" s="1023"/>
      <c r="IQ184" s="1023"/>
      <c r="IR184" s="1023"/>
      <c r="IS184" s="1023"/>
      <c r="IT184" s="1023"/>
      <c r="IU184" s="1023"/>
      <c r="IV184" s="1023"/>
    </row>
    <row r="185" spans="1:256" s="1083" customFormat="1" ht="12.75" customHeight="1">
      <c r="A185" s="1055" t="s">
        <v>866</v>
      </c>
      <c r="B185" s="1060" t="s">
        <v>867</v>
      </c>
      <c r="C185" s="1056" t="s">
        <v>793</v>
      </c>
      <c r="D185" s="1107" t="e">
        <f>'Edition 2'!F11</f>
        <v>#N/A</v>
      </c>
      <c r="E185" s="1107"/>
      <c r="F185" s="1107"/>
      <c r="G185" s="1107"/>
      <c r="H185" s="1107"/>
      <c r="I185" s="1107"/>
      <c r="J185" s="1107"/>
      <c r="K185" s="1107"/>
      <c r="L185" s="1107"/>
      <c r="M185" s="1107"/>
      <c r="N185" s="1107"/>
      <c r="O185" s="1107"/>
      <c r="P185" s="1107"/>
      <c r="Q185" s="1107"/>
      <c r="R185" s="1107"/>
      <c r="S185" s="1107"/>
      <c r="T185" s="1107"/>
      <c r="U185" s="1107"/>
      <c r="V185" s="1107"/>
      <c r="W185" s="1107"/>
      <c r="X185" s="1107"/>
      <c r="Y185" s="1107"/>
      <c r="Z185" s="1107"/>
      <c r="AA185" s="1107"/>
      <c r="AB185" s="1107"/>
      <c r="AC185" s="1107"/>
      <c r="AD185" s="1107"/>
      <c r="AE185" s="1107"/>
      <c r="AF185" s="1107"/>
      <c r="AG185" s="1107"/>
      <c r="AH185" s="1107"/>
      <c r="AI185" s="1107"/>
      <c r="AJ185" s="1107"/>
      <c r="AK185" s="1107"/>
      <c r="AL185" s="1107"/>
      <c r="AM185" s="1107"/>
      <c r="AN185" s="1107"/>
      <c r="AO185" s="1107"/>
      <c r="IN185" s="1023"/>
      <c r="IO185" s="1023"/>
      <c r="IP185" s="1023"/>
      <c r="IQ185" s="1023"/>
      <c r="IR185" s="1023"/>
      <c r="IS185" s="1023"/>
      <c r="IT185" s="1023"/>
      <c r="IU185" s="1023"/>
      <c r="IV185" s="1023"/>
    </row>
    <row r="186" spans="1:256" s="1102" customFormat="1" ht="12.75" customHeight="1">
      <c r="A186" s="1055" t="s">
        <v>868</v>
      </c>
      <c r="B186" s="1060" t="s">
        <v>869</v>
      </c>
      <c r="C186" s="1056" t="s">
        <v>793</v>
      </c>
      <c r="D186" s="1107">
        <f>'Edition 2'!F12</f>
        <v>0</v>
      </c>
      <c r="E186" s="1107"/>
      <c r="F186" s="1107"/>
      <c r="G186" s="1107"/>
      <c r="H186" s="1107"/>
      <c r="I186" s="1107"/>
      <c r="J186" s="1107"/>
      <c r="K186" s="1107"/>
      <c r="L186" s="1107"/>
      <c r="M186" s="1107"/>
      <c r="N186" s="1107"/>
      <c r="O186" s="1107"/>
      <c r="P186" s="1107"/>
      <c r="Q186" s="1107"/>
      <c r="R186" s="1107"/>
      <c r="S186" s="1107"/>
      <c r="T186" s="1107"/>
      <c r="U186" s="1107"/>
      <c r="V186" s="1107"/>
      <c r="W186" s="1107"/>
      <c r="X186" s="1107"/>
      <c r="Y186" s="1107"/>
      <c r="Z186" s="1107"/>
      <c r="AA186" s="1107"/>
      <c r="AB186" s="1107"/>
      <c r="AC186" s="1107"/>
      <c r="AD186" s="1107"/>
      <c r="AE186" s="1107"/>
      <c r="AF186" s="1107"/>
      <c r="AG186" s="1107"/>
      <c r="AH186" s="1107"/>
      <c r="AI186" s="1107"/>
      <c r="AJ186" s="1107"/>
      <c r="AK186" s="1107"/>
      <c r="AL186" s="1107"/>
      <c r="AM186" s="1107"/>
      <c r="AN186" s="1107"/>
      <c r="AO186" s="1107"/>
      <c r="IN186" s="1084"/>
      <c r="IO186" s="1084"/>
      <c r="IP186" s="1084"/>
      <c r="IQ186" s="1084"/>
      <c r="IR186" s="1084"/>
      <c r="IS186" s="1084"/>
      <c r="IT186" s="1084"/>
      <c r="IU186" s="1084"/>
      <c r="IV186" s="1084"/>
    </row>
    <row r="187" spans="1:256" s="1083" customFormat="1" ht="12.75" customHeight="1">
      <c r="A187" s="1055" t="s">
        <v>870</v>
      </c>
      <c r="B187" s="1060" t="s">
        <v>871</v>
      </c>
      <c r="C187" s="1056" t="s">
        <v>793</v>
      </c>
      <c r="D187" s="1107">
        <f>'Edition 2'!F13</f>
        <v>0</v>
      </c>
      <c r="E187" s="1107"/>
      <c r="F187" s="1107"/>
      <c r="G187" s="1107"/>
      <c r="H187" s="1107"/>
      <c r="I187" s="1107"/>
      <c r="J187" s="1107"/>
      <c r="K187" s="1107"/>
      <c r="L187" s="1107"/>
      <c r="M187" s="1107"/>
      <c r="N187" s="1107"/>
      <c r="O187" s="1107"/>
      <c r="P187" s="1107"/>
      <c r="Q187" s="1107"/>
      <c r="R187" s="1107"/>
      <c r="S187" s="1107"/>
      <c r="T187" s="1107"/>
      <c r="U187" s="1107"/>
      <c r="V187" s="1107"/>
      <c r="W187" s="1107"/>
      <c r="X187" s="1107"/>
      <c r="Y187" s="1107"/>
      <c r="Z187" s="1107"/>
      <c r="AA187" s="1107"/>
      <c r="AB187" s="1107"/>
      <c r="AC187" s="1107"/>
      <c r="AD187" s="1107"/>
      <c r="AE187" s="1107"/>
      <c r="AF187" s="1107"/>
      <c r="AG187" s="1107"/>
      <c r="AH187" s="1107"/>
      <c r="AI187" s="1107"/>
      <c r="AJ187" s="1107"/>
      <c r="AK187" s="1107"/>
      <c r="AL187" s="1107"/>
      <c r="AM187" s="1107"/>
      <c r="AN187" s="1107"/>
      <c r="AO187" s="1107"/>
      <c r="IN187" s="1023"/>
      <c r="IO187" s="1023"/>
      <c r="IP187" s="1023"/>
      <c r="IQ187" s="1023"/>
      <c r="IR187" s="1023"/>
      <c r="IS187" s="1023"/>
      <c r="IT187" s="1023"/>
      <c r="IU187" s="1023"/>
      <c r="IV187" s="1023"/>
    </row>
    <row r="188" spans="1:256" s="1083" customFormat="1" ht="12.75" customHeight="1">
      <c r="A188" s="1055" t="s">
        <v>872</v>
      </c>
      <c r="B188" s="1060" t="s">
        <v>873</v>
      </c>
      <c r="C188" s="1056" t="s">
        <v>793</v>
      </c>
      <c r="D188" s="1107" t="e">
        <f>D184+1.5*D185</f>
        <v>#DIV/0!</v>
      </c>
      <c r="E188" s="1107"/>
      <c r="F188" s="1107"/>
      <c r="G188" s="1107"/>
      <c r="H188" s="1107"/>
      <c r="I188" s="1107"/>
      <c r="J188" s="1107"/>
      <c r="K188" s="1107"/>
      <c r="L188" s="1107"/>
      <c r="M188" s="1107"/>
      <c r="N188" s="1107"/>
      <c r="O188" s="1107"/>
      <c r="P188" s="1107"/>
      <c r="Q188" s="1107"/>
      <c r="R188" s="1107"/>
      <c r="S188" s="1107"/>
      <c r="T188" s="1107"/>
      <c r="U188" s="1107"/>
      <c r="V188" s="1107"/>
      <c r="W188" s="1107"/>
      <c r="X188" s="1107"/>
      <c r="Y188" s="1107"/>
      <c r="Z188" s="1107"/>
      <c r="AA188" s="1107"/>
      <c r="AB188" s="1107"/>
      <c r="AC188" s="1107"/>
      <c r="AD188" s="1107"/>
      <c r="AE188" s="1107"/>
      <c r="AF188" s="1107"/>
      <c r="AG188" s="1107"/>
      <c r="AH188" s="1107"/>
      <c r="AI188" s="1107"/>
      <c r="AJ188" s="1107"/>
      <c r="AK188" s="1107"/>
      <c r="AL188" s="1107"/>
      <c r="AM188" s="1107"/>
      <c r="AN188" s="1107"/>
      <c r="AO188" s="1107"/>
      <c r="IN188" s="1023"/>
      <c r="IO188" s="1023"/>
      <c r="IP188" s="1023"/>
      <c r="IQ188" s="1023"/>
      <c r="IR188" s="1023"/>
      <c r="IS188" s="1023"/>
      <c r="IT188" s="1023"/>
      <c r="IU188" s="1023"/>
      <c r="IV188" s="1023"/>
    </row>
    <row r="189" spans="1:256" s="1083" customFormat="1" ht="12.75" customHeight="1">
      <c r="A189" s="1055" t="s">
        <v>874</v>
      </c>
      <c r="B189" s="1060" t="s">
        <v>875</v>
      </c>
      <c r="C189" s="1056" t="s">
        <v>793</v>
      </c>
      <c r="D189" s="1107" t="e">
        <f>D188-D186</f>
        <v>#DIV/0!</v>
      </c>
      <c r="E189" s="1107"/>
      <c r="F189" s="1107"/>
      <c r="G189" s="1107"/>
      <c r="H189" s="1107"/>
      <c r="I189" s="1107"/>
      <c r="J189" s="1107"/>
      <c r="K189" s="1107"/>
      <c r="L189" s="1107"/>
      <c r="M189" s="1107"/>
      <c r="N189" s="1107"/>
      <c r="O189" s="1107"/>
      <c r="P189" s="1107"/>
      <c r="Q189" s="1107"/>
      <c r="R189" s="1107"/>
      <c r="S189" s="1107"/>
      <c r="T189" s="1107"/>
      <c r="U189" s="1107"/>
      <c r="V189" s="1107"/>
      <c r="W189" s="1107"/>
      <c r="X189" s="1107"/>
      <c r="Y189" s="1107"/>
      <c r="Z189" s="1107"/>
      <c r="AA189" s="1107"/>
      <c r="AB189" s="1107"/>
      <c r="AC189" s="1107"/>
      <c r="AD189" s="1107"/>
      <c r="AE189" s="1107"/>
      <c r="AF189" s="1107"/>
      <c r="AG189" s="1107"/>
      <c r="AH189" s="1107"/>
      <c r="AI189" s="1107"/>
      <c r="AJ189" s="1107"/>
      <c r="AK189" s="1107"/>
      <c r="AL189" s="1107"/>
      <c r="AM189" s="1107"/>
      <c r="AN189" s="1107"/>
      <c r="AO189" s="1107"/>
      <c r="IN189" s="1023"/>
      <c r="IO189" s="1023"/>
      <c r="IP189" s="1023"/>
      <c r="IQ189" s="1023"/>
      <c r="IR189" s="1023"/>
      <c r="IS189" s="1023"/>
      <c r="IT189" s="1023"/>
      <c r="IU189" s="1023"/>
      <c r="IV189" s="1023"/>
    </row>
    <row r="190" spans="1:256" s="1083" customFormat="1" ht="12.75" customHeight="1">
      <c r="A190" s="1055" t="s">
        <v>876</v>
      </c>
      <c r="B190" s="1060" t="s">
        <v>877</v>
      </c>
      <c r="C190" s="1056" t="s">
        <v>793</v>
      </c>
      <c r="D190" s="1107" t="e">
        <f>D188-D187</f>
        <v>#DIV/0!</v>
      </c>
      <c r="E190" s="1107"/>
      <c r="F190" s="1107"/>
      <c r="G190" s="1107"/>
      <c r="H190" s="1107"/>
      <c r="I190" s="1107"/>
      <c r="J190" s="1107"/>
      <c r="K190" s="1107"/>
      <c r="L190" s="1107"/>
      <c r="M190" s="1107"/>
      <c r="N190" s="1107"/>
      <c r="O190" s="1107"/>
      <c r="P190" s="1107"/>
      <c r="Q190" s="1107"/>
      <c r="R190" s="1107"/>
      <c r="S190" s="1107"/>
      <c r="T190" s="1107"/>
      <c r="U190" s="1107"/>
      <c r="V190" s="1107"/>
      <c r="W190" s="1107"/>
      <c r="X190" s="1107"/>
      <c r="Y190" s="1107"/>
      <c r="Z190" s="1107"/>
      <c r="AA190" s="1107"/>
      <c r="AB190" s="1107"/>
      <c r="AC190" s="1107"/>
      <c r="AD190" s="1107"/>
      <c r="AE190" s="1107"/>
      <c r="AF190" s="1107"/>
      <c r="AG190" s="1107"/>
      <c r="AH190" s="1107"/>
      <c r="AI190" s="1107"/>
      <c r="AJ190" s="1107"/>
      <c r="AK190" s="1107"/>
      <c r="AL190" s="1107"/>
      <c r="AM190" s="1107"/>
      <c r="AN190" s="1107"/>
      <c r="AO190" s="1107"/>
      <c r="IN190" s="1023"/>
      <c r="IO190" s="1023"/>
      <c r="IP190" s="1023"/>
      <c r="IQ190" s="1023"/>
      <c r="IR190" s="1023"/>
      <c r="IS190" s="1023"/>
      <c r="IT190" s="1023"/>
      <c r="IU190" s="1023"/>
      <c r="IV190" s="1023"/>
    </row>
    <row r="191" spans="1:256" s="1083" customFormat="1" ht="12.75" customHeight="1">
      <c r="A191" s="1055" t="s">
        <v>878</v>
      </c>
      <c r="B191" s="1060" t="s">
        <v>879</v>
      </c>
      <c r="C191" s="1056" t="s">
        <v>793</v>
      </c>
      <c r="D191" s="1108" t="e">
        <f>'Edition 1'!H12</f>
        <v>#N/A</v>
      </c>
      <c r="E191" s="1108"/>
      <c r="F191" s="1108"/>
      <c r="G191" s="1108"/>
      <c r="H191" s="1108"/>
      <c r="I191" s="1108"/>
      <c r="J191" s="1108"/>
      <c r="K191" s="1108"/>
      <c r="L191" s="1108"/>
      <c r="M191" s="1108"/>
      <c r="N191" s="1108"/>
      <c r="O191" s="1108"/>
      <c r="P191" s="1108"/>
      <c r="Q191" s="1108"/>
      <c r="R191" s="1108"/>
      <c r="S191" s="1108"/>
      <c r="T191" s="1108"/>
      <c r="U191" s="1108"/>
      <c r="V191" s="1108"/>
      <c r="W191" s="1108"/>
      <c r="X191" s="1108"/>
      <c r="Y191" s="1108"/>
      <c r="Z191" s="1108"/>
      <c r="AA191" s="1108"/>
      <c r="AB191" s="1108"/>
      <c r="AC191" s="1108"/>
      <c r="AD191" s="1108"/>
      <c r="AE191" s="1108"/>
      <c r="AF191" s="1108"/>
      <c r="AG191" s="1108"/>
      <c r="AH191" s="1108"/>
      <c r="AI191" s="1108"/>
      <c r="AJ191" s="1108"/>
      <c r="AK191" s="1108"/>
      <c r="AL191" s="1108"/>
      <c r="AM191" s="1108"/>
      <c r="AN191" s="1108"/>
      <c r="AO191" s="1108"/>
      <c r="IN191" s="1023"/>
      <c r="IO191" s="1023"/>
      <c r="IP191" s="1023"/>
      <c r="IQ191" s="1023"/>
      <c r="IR191" s="1023"/>
      <c r="IS191" s="1023"/>
      <c r="IT191" s="1023"/>
      <c r="IU191" s="1023"/>
      <c r="IV191" s="1023"/>
    </row>
    <row r="192" spans="1:256" s="1083" customFormat="1" ht="12.75" customHeight="1">
      <c r="A192" s="1055" t="s">
        <v>880</v>
      </c>
      <c r="B192" s="1060" t="s">
        <v>881</v>
      </c>
      <c r="C192" s="1056" t="s">
        <v>793</v>
      </c>
      <c r="D192" s="1094" t="e">
        <f>'Edition 1'!H14</f>
        <v>#N/A</v>
      </c>
      <c r="E192" s="1094"/>
      <c r="F192" s="1094"/>
      <c r="G192" s="1094"/>
      <c r="H192" s="1094"/>
      <c r="I192" s="1094"/>
      <c r="J192" s="1094"/>
      <c r="K192" s="1094"/>
      <c r="L192" s="1094"/>
      <c r="M192" s="1094"/>
      <c r="N192" s="1094"/>
      <c r="O192" s="1094"/>
      <c r="P192" s="1094"/>
      <c r="Q192" s="1094"/>
      <c r="R192" s="1094"/>
      <c r="S192" s="1094"/>
      <c r="T192" s="1094"/>
      <c r="U192" s="1094"/>
      <c r="V192" s="1094"/>
      <c r="W192" s="1094"/>
      <c r="X192" s="1094"/>
      <c r="Y192" s="1094"/>
      <c r="Z192" s="1094"/>
      <c r="AA192" s="1094"/>
      <c r="AB192" s="1094"/>
      <c r="AC192" s="1094"/>
      <c r="AD192" s="1094"/>
      <c r="AE192" s="1094"/>
      <c r="AF192" s="1094"/>
      <c r="AG192" s="1094"/>
      <c r="AH192" s="1094"/>
      <c r="AI192" s="1094"/>
      <c r="AJ192" s="1094"/>
      <c r="AK192" s="1094"/>
      <c r="AL192" s="1094"/>
      <c r="AM192" s="1094"/>
      <c r="AN192" s="1094"/>
      <c r="AO192" s="1094"/>
      <c r="IN192" s="1023"/>
      <c r="IO192" s="1023"/>
      <c r="IP192" s="1023"/>
      <c r="IQ192" s="1023"/>
      <c r="IR192" s="1023"/>
      <c r="IS192" s="1023"/>
      <c r="IT192" s="1023"/>
      <c r="IU192" s="1023"/>
      <c r="IV192" s="1023"/>
    </row>
    <row r="193" spans="1:256" s="1083" customFormat="1" ht="12.75" customHeight="1">
      <c r="A193" s="1055" t="s">
        <v>882</v>
      </c>
      <c r="B193" s="1060" t="s">
        <v>883</v>
      </c>
      <c r="C193" s="1056" t="s">
        <v>793</v>
      </c>
      <c r="D193" s="1094" t="e">
        <f>'Edition 1'!H15</f>
        <v>#DIV/0!</v>
      </c>
      <c r="E193" s="1094"/>
      <c r="F193" s="1094"/>
      <c r="G193" s="1094"/>
      <c r="H193" s="1094"/>
      <c r="I193" s="1094"/>
      <c r="J193" s="1094"/>
      <c r="K193" s="1094"/>
      <c r="L193" s="1094"/>
      <c r="M193" s="1094"/>
      <c r="N193" s="1094"/>
      <c r="O193" s="1094"/>
      <c r="P193" s="1094"/>
      <c r="Q193" s="1094"/>
      <c r="R193" s="1094"/>
      <c r="S193" s="1094"/>
      <c r="T193" s="1094"/>
      <c r="U193" s="1094"/>
      <c r="V193" s="1094"/>
      <c r="W193" s="1094"/>
      <c r="X193" s="1094"/>
      <c r="Y193" s="1094"/>
      <c r="Z193" s="1094"/>
      <c r="AA193" s="1094"/>
      <c r="AB193" s="1094"/>
      <c r="AC193" s="1094"/>
      <c r="AD193" s="1094"/>
      <c r="AE193" s="1094"/>
      <c r="AF193" s="1094"/>
      <c r="AG193" s="1094"/>
      <c r="AH193" s="1094"/>
      <c r="AI193" s="1094"/>
      <c r="AJ193" s="1094"/>
      <c r="AK193" s="1094"/>
      <c r="AL193" s="1094"/>
      <c r="AM193" s="1094"/>
      <c r="AN193" s="1094"/>
      <c r="AO193" s="1094"/>
      <c r="IN193" s="1023"/>
      <c r="IO193" s="1023"/>
      <c r="IP193" s="1023"/>
      <c r="IQ193" s="1023"/>
      <c r="IR193" s="1023"/>
      <c r="IS193" s="1023"/>
      <c r="IT193" s="1023"/>
      <c r="IU193" s="1023"/>
      <c r="IV193" s="1023"/>
    </row>
    <row r="194" spans="1:256" s="1083" customFormat="1" ht="12.75" customHeight="1">
      <c r="A194" s="1055" t="s">
        <v>884</v>
      </c>
      <c r="B194" s="1060" t="s">
        <v>885</v>
      </c>
      <c r="C194" s="1056" t="s">
        <v>793</v>
      </c>
      <c r="D194" s="1094" t="e">
        <f>'Edition 1'!H16</f>
        <v>#N/A</v>
      </c>
      <c r="E194" s="1094"/>
      <c r="F194" s="1094"/>
      <c r="G194" s="1094"/>
      <c r="H194" s="1094"/>
      <c r="I194" s="1094"/>
      <c r="J194" s="1094"/>
      <c r="K194" s="1094"/>
      <c r="L194" s="1094"/>
      <c r="M194" s="1094"/>
      <c r="N194" s="1094"/>
      <c r="O194" s="1094"/>
      <c r="P194" s="1094"/>
      <c r="Q194" s="1094"/>
      <c r="R194" s="1094"/>
      <c r="S194" s="1094"/>
      <c r="T194" s="1094"/>
      <c r="U194" s="1094"/>
      <c r="V194" s="1094"/>
      <c r="W194" s="1094"/>
      <c r="X194" s="1094"/>
      <c r="Y194" s="1094"/>
      <c r="Z194" s="1094"/>
      <c r="AA194" s="1094"/>
      <c r="AB194" s="1094"/>
      <c r="AC194" s="1094"/>
      <c r="AD194" s="1094"/>
      <c r="AE194" s="1094"/>
      <c r="AF194" s="1094"/>
      <c r="AG194" s="1094"/>
      <c r="AH194" s="1094"/>
      <c r="AI194" s="1094"/>
      <c r="AJ194" s="1094"/>
      <c r="AK194" s="1094"/>
      <c r="AL194" s="1094"/>
      <c r="AM194" s="1094"/>
      <c r="AN194" s="1094"/>
      <c r="AO194" s="1094"/>
      <c r="IN194" s="1023"/>
      <c r="IO194" s="1023"/>
      <c r="IP194" s="1023"/>
      <c r="IQ194" s="1023"/>
      <c r="IR194" s="1023"/>
      <c r="IS194" s="1023"/>
      <c r="IT194" s="1023"/>
      <c r="IU194" s="1023"/>
      <c r="IV194" s="1023"/>
    </row>
    <row r="195" spans="1:256" s="1083" customFormat="1" ht="12.75" customHeight="1">
      <c r="A195" s="1055" t="s">
        <v>886</v>
      </c>
      <c r="B195" s="1060" t="s">
        <v>887</v>
      </c>
      <c r="C195" s="1056" t="s">
        <v>793</v>
      </c>
      <c r="D195" s="1094" t="e">
        <f>'Edition 1'!H17</f>
        <v>#N/A</v>
      </c>
      <c r="E195" s="1094"/>
      <c r="F195" s="1094"/>
      <c r="G195" s="1094"/>
      <c r="H195" s="1094"/>
      <c r="I195" s="1094"/>
      <c r="J195" s="1094"/>
      <c r="K195" s="1094"/>
      <c r="L195" s="1094"/>
      <c r="M195" s="1094"/>
      <c r="N195" s="1094"/>
      <c r="O195" s="1094"/>
      <c r="P195" s="1094"/>
      <c r="Q195" s="1094"/>
      <c r="R195" s="1094"/>
      <c r="S195" s="1094"/>
      <c r="T195" s="1094"/>
      <c r="U195" s="1094"/>
      <c r="V195" s="1094"/>
      <c r="W195" s="1094"/>
      <c r="X195" s="1094"/>
      <c r="Y195" s="1094"/>
      <c r="Z195" s="1094"/>
      <c r="AA195" s="1094"/>
      <c r="AB195" s="1094"/>
      <c r="AC195" s="1094"/>
      <c r="AD195" s="1094"/>
      <c r="AE195" s="1094"/>
      <c r="AF195" s="1094"/>
      <c r="AG195" s="1094"/>
      <c r="AH195" s="1094"/>
      <c r="AI195" s="1094"/>
      <c r="AJ195" s="1094"/>
      <c r="AK195" s="1094"/>
      <c r="AL195" s="1094"/>
      <c r="AM195" s="1094"/>
      <c r="AN195" s="1094"/>
      <c r="AO195" s="1094"/>
      <c r="IN195" s="1023"/>
      <c r="IO195" s="1023"/>
      <c r="IP195" s="1023"/>
      <c r="IQ195" s="1023"/>
      <c r="IR195" s="1023"/>
      <c r="IS195" s="1023"/>
      <c r="IT195" s="1023"/>
      <c r="IU195" s="1023"/>
      <c r="IV195" s="1023"/>
    </row>
    <row r="196" spans="1:256" s="1083" customFormat="1" ht="12.75" customHeight="1">
      <c r="A196" s="1055" t="s">
        <v>888</v>
      </c>
      <c r="B196" s="1060" t="s">
        <v>889</v>
      </c>
      <c r="C196" s="1056" t="s">
        <v>793</v>
      </c>
      <c r="D196" s="1094" t="e">
        <f>'Edition 1'!H21</f>
        <v>#DIV/0!</v>
      </c>
      <c r="E196" s="1094"/>
      <c r="F196" s="1094"/>
      <c r="G196" s="1094"/>
      <c r="H196" s="1094"/>
      <c r="I196" s="1094"/>
      <c r="J196" s="1094"/>
      <c r="K196" s="1094"/>
      <c r="L196" s="1094"/>
      <c r="M196" s="1094"/>
      <c r="N196" s="1094"/>
      <c r="O196" s="1094"/>
      <c r="P196" s="1094"/>
      <c r="Q196" s="1094"/>
      <c r="R196" s="1094"/>
      <c r="S196" s="1094"/>
      <c r="T196" s="1094"/>
      <c r="U196" s="1094"/>
      <c r="V196" s="1094"/>
      <c r="W196" s="1094"/>
      <c r="X196" s="1094"/>
      <c r="Y196" s="1094"/>
      <c r="Z196" s="1094"/>
      <c r="AA196" s="1094"/>
      <c r="AB196" s="1094"/>
      <c r="AC196" s="1094"/>
      <c r="AD196" s="1094"/>
      <c r="AE196" s="1094"/>
      <c r="AF196" s="1094"/>
      <c r="AG196" s="1094"/>
      <c r="AH196" s="1094"/>
      <c r="AI196" s="1094"/>
      <c r="AJ196" s="1094"/>
      <c r="AK196" s="1094"/>
      <c r="AL196" s="1094"/>
      <c r="AM196" s="1094"/>
      <c r="AN196" s="1094"/>
      <c r="AO196" s="1094"/>
      <c r="IN196" s="1023"/>
      <c r="IO196" s="1023"/>
      <c r="IP196" s="1023"/>
      <c r="IQ196" s="1023"/>
      <c r="IR196" s="1023"/>
      <c r="IS196" s="1023"/>
      <c r="IT196" s="1023"/>
      <c r="IU196" s="1023"/>
      <c r="IV196" s="1023"/>
    </row>
    <row r="197" spans="1:43" ht="12.75" customHeight="1">
      <c r="A197" s="1055" t="s">
        <v>890</v>
      </c>
      <c r="B197" s="1060" t="s">
        <v>891</v>
      </c>
      <c r="C197" s="1056" t="s">
        <v>793</v>
      </c>
      <c r="D197" s="1094" t="e">
        <f>'Edition 1'!H22</f>
        <v>#DIV/0!</v>
      </c>
      <c r="E197" s="1094"/>
      <c r="F197" s="1094"/>
      <c r="G197" s="1094"/>
      <c r="H197" s="1094"/>
      <c r="I197" s="1094"/>
      <c r="J197" s="1094"/>
      <c r="K197" s="1094"/>
      <c r="L197" s="1094"/>
      <c r="M197" s="1094"/>
      <c r="N197" s="1094"/>
      <c r="O197" s="1094"/>
      <c r="P197" s="1094"/>
      <c r="Q197" s="1094"/>
      <c r="R197" s="1094"/>
      <c r="S197" s="1094"/>
      <c r="T197" s="1094"/>
      <c r="U197" s="1094"/>
      <c r="V197" s="1094"/>
      <c r="W197" s="1094"/>
      <c r="X197" s="1094"/>
      <c r="Y197" s="1094"/>
      <c r="Z197" s="1094"/>
      <c r="AA197" s="1094"/>
      <c r="AB197" s="1094"/>
      <c r="AC197" s="1094"/>
      <c r="AD197" s="1094"/>
      <c r="AE197" s="1094"/>
      <c r="AF197" s="1094"/>
      <c r="AG197" s="1094"/>
      <c r="AH197" s="1094"/>
      <c r="AI197" s="1094"/>
      <c r="AJ197" s="1094"/>
      <c r="AK197" s="1094"/>
      <c r="AL197" s="1094"/>
      <c r="AM197" s="1094"/>
      <c r="AN197" s="1094"/>
      <c r="AO197" s="1094"/>
      <c r="AP197" s="1102"/>
      <c r="AQ197" s="1102"/>
    </row>
    <row r="198" spans="1:256" s="1083" customFormat="1" ht="12.75" customHeight="1">
      <c r="A198" s="1055" t="s">
        <v>892</v>
      </c>
      <c r="B198" s="1060" t="s">
        <v>893</v>
      </c>
      <c r="C198" s="1056" t="s">
        <v>793</v>
      </c>
      <c r="D198" s="1108" t="e">
        <f>'Edition 1'!H24</f>
        <v>#DIV/0!</v>
      </c>
      <c r="E198" s="1108"/>
      <c r="F198" s="1108"/>
      <c r="G198" s="1108"/>
      <c r="H198" s="1108"/>
      <c r="I198" s="1108"/>
      <c r="J198" s="1108"/>
      <c r="K198" s="1108"/>
      <c r="L198" s="1108"/>
      <c r="M198" s="1108"/>
      <c r="N198" s="1108"/>
      <c r="O198" s="1108"/>
      <c r="P198" s="1108"/>
      <c r="Q198" s="1108"/>
      <c r="R198" s="1108"/>
      <c r="S198" s="1108"/>
      <c r="T198" s="1108"/>
      <c r="U198" s="1108"/>
      <c r="V198" s="1108"/>
      <c r="W198" s="1108"/>
      <c r="X198" s="1108"/>
      <c r="Y198" s="1108"/>
      <c r="Z198" s="1108"/>
      <c r="AA198" s="1108"/>
      <c r="AB198" s="1108"/>
      <c r="AC198" s="1108"/>
      <c r="AD198" s="1108"/>
      <c r="AE198" s="1108"/>
      <c r="AF198" s="1108"/>
      <c r="AG198" s="1108"/>
      <c r="AH198" s="1108"/>
      <c r="AI198" s="1108"/>
      <c r="AJ198" s="1108"/>
      <c r="AK198" s="1108"/>
      <c r="AL198" s="1108"/>
      <c r="AM198" s="1108"/>
      <c r="AN198" s="1108"/>
      <c r="AO198" s="1108"/>
      <c r="IN198" s="1023"/>
      <c r="IO198" s="1023"/>
      <c r="IP198" s="1023"/>
      <c r="IQ198" s="1023"/>
      <c r="IR198" s="1023"/>
      <c r="IS198" s="1023"/>
      <c r="IT198" s="1023"/>
      <c r="IU198" s="1023"/>
      <c r="IV198" s="1023"/>
    </row>
    <row r="199" spans="1:256" s="1110" customFormat="1" ht="12.75" customHeight="1">
      <c r="A199" s="1055" t="s">
        <v>894</v>
      </c>
      <c r="B199" s="1060" t="s">
        <v>895</v>
      </c>
      <c r="C199" s="1056" t="s">
        <v>793</v>
      </c>
      <c r="D199" s="1094" t="e">
        <f>'Edition 1'!H27</f>
        <v>#DIV/0!</v>
      </c>
      <c r="E199" s="1094"/>
      <c r="F199" s="1094"/>
      <c r="G199" s="1094"/>
      <c r="H199" s="1094"/>
      <c r="I199" s="1094"/>
      <c r="J199" s="1094"/>
      <c r="K199" s="1094"/>
      <c r="L199" s="1094"/>
      <c r="M199" s="1094"/>
      <c r="N199" s="1094"/>
      <c r="O199" s="1094"/>
      <c r="P199" s="1094"/>
      <c r="Q199" s="1094"/>
      <c r="R199" s="1094"/>
      <c r="S199" s="1094"/>
      <c r="T199" s="1094"/>
      <c r="U199" s="1094"/>
      <c r="V199" s="1094"/>
      <c r="W199" s="1094"/>
      <c r="X199" s="1094"/>
      <c r="Y199" s="1094"/>
      <c r="Z199" s="1094"/>
      <c r="AA199" s="1094"/>
      <c r="AB199" s="1094"/>
      <c r="AC199" s="1094"/>
      <c r="AD199" s="1094"/>
      <c r="AE199" s="1094"/>
      <c r="AF199" s="1094"/>
      <c r="AG199" s="1094"/>
      <c r="AH199" s="1094"/>
      <c r="AI199" s="1094"/>
      <c r="AJ199" s="1094"/>
      <c r="AK199" s="1094"/>
      <c r="AL199" s="1094"/>
      <c r="AM199" s="1094"/>
      <c r="AN199" s="1094"/>
      <c r="AO199" s="1094"/>
      <c r="IN199" s="1023"/>
      <c r="IO199" s="1023"/>
      <c r="IP199" s="1023"/>
      <c r="IQ199" s="1023"/>
      <c r="IR199" s="1023"/>
      <c r="IS199" s="1023"/>
      <c r="IT199" s="1023"/>
      <c r="IU199" s="1023"/>
      <c r="IV199" s="1023"/>
    </row>
    <row r="200" spans="1:256" s="1083" customFormat="1" ht="12.75" customHeight="1">
      <c r="A200" s="1055" t="s">
        <v>896</v>
      </c>
      <c r="B200" s="1060" t="s">
        <v>897</v>
      </c>
      <c r="C200" s="1056" t="s">
        <v>793</v>
      </c>
      <c r="D200" s="1094" t="e">
        <f>'Edition 1'!H28</f>
        <v>#DIV/0!</v>
      </c>
      <c r="E200" s="1094"/>
      <c r="F200" s="1094"/>
      <c r="G200" s="1094"/>
      <c r="H200" s="1094"/>
      <c r="I200" s="1094"/>
      <c r="J200" s="1094"/>
      <c r="K200" s="1094"/>
      <c r="L200" s="1094"/>
      <c r="M200" s="1094"/>
      <c r="N200" s="1094"/>
      <c r="O200" s="1094"/>
      <c r="P200" s="1094"/>
      <c r="Q200" s="1094"/>
      <c r="R200" s="1094"/>
      <c r="S200" s="1094"/>
      <c r="T200" s="1094"/>
      <c r="U200" s="1094"/>
      <c r="V200" s="1094"/>
      <c r="W200" s="1094"/>
      <c r="X200" s="1094"/>
      <c r="Y200" s="1094"/>
      <c r="Z200" s="1094"/>
      <c r="AA200" s="1094"/>
      <c r="AB200" s="1094"/>
      <c r="AC200" s="1094"/>
      <c r="AD200" s="1094"/>
      <c r="AE200" s="1094"/>
      <c r="AF200" s="1094"/>
      <c r="AG200" s="1094"/>
      <c r="AH200" s="1094"/>
      <c r="AI200" s="1094"/>
      <c r="AJ200" s="1094"/>
      <c r="AK200" s="1094"/>
      <c r="AL200" s="1094"/>
      <c r="AM200" s="1094"/>
      <c r="AN200" s="1094"/>
      <c r="AO200" s="1094"/>
      <c r="IN200" s="1023"/>
      <c r="IO200" s="1023"/>
      <c r="IP200" s="1023"/>
      <c r="IQ200" s="1023"/>
      <c r="IR200" s="1023"/>
      <c r="IS200" s="1023"/>
      <c r="IT200" s="1023"/>
      <c r="IU200" s="1023"/>
      <c r="IV200" s="1023"/>
    </row>
    <row r="201" spans="1:256" s="1110" customFormat="1" ht="12.75" customHeight="1">
      <c r="A201" s="1055" t="s">
        <v>898</v>
      </c>
      <c r="B201" s="1060" t="s">
        <v>899</v>
      </c>
      <c r="C201" s="1056" t="s">
        <v>793</v>
      </c>
      <c r="D201" s="1094">
        <f>'Edition 1'!H26</f>
        <v>0</v>
      </c>
      <c r="E201" s="1094"/>
      <c r="F201" s="1094"/>
      <c r="G201" s="1094"/>
      <c r="H201" s="1094"/>
      <c r="I201" s="1094"/>
      <c r="J201" s="1094"/>
      <c r="K201" s="1094"/>
      <c r="L201" s="1094"/>
      <c r="M201" s="1094"/>
      <c r="N201" s="1094"/>
      <c r="O201" s="1094"/>
      <c r="P201" s="1094"/>
      <c r="Q201" s="1094"/>
      <c r="R201" s="1094"/>
      <c r="S201" s="1094"/>
      <c r="T201" s="1094"/>
      <c r="U201" s="1094"/>
      <c r="V201" s="1094"/>
      <c r="W201" s="1094"/>
      <c r="X201" s="1094"/>
      <c r="Y201" s="1094"/>
      <c r="Z201" s="1094"/>
      <c r="AA201" s="1094"/>
      <c r="AB201" s="1094"/>
      <c r="AC201" s="1094"/>
      <c r="AD201" s="1094"/>
      <c r="AE201" s="1094"/>
      <c r="AF201" s="1094"/>
      <c r="AG201" s="1094"/>
      <c r="AH201" s="1094"/>
      <c r="AI201" s="1094"/>
      <c r="AJ201" s="1094"/>
      <c r="AK201" s="1094"/>
      <c r="AL201" s="1094"/>
      <c r="AM201" s="1094"/>
      <c r="AN201" s="1094"/>
      <c r="AO201" s="1094"/>
      <c r="IN201" s="1023"/>
      <c r="IO201" s="1023"/>
      <c r="IP201" s="1023"/>
      <c r="IQ201" s="1023"/>
      <c r="IR201" s="1023"/>
      <c r="IS201" s="1023"/>
      <c r="IT201" s="1023"/>
      <c r="IU201" s="1023"/>
      <c r="IV201" s="1023"/>
    </row>
    <row r="202" spans="1:256" s="1083" customFormat="1" ht="12.75" customHeight="1">
      <c r="A202" s="1055" t="s">
        <v>900</v>
      </c>
      <c r="B202" s="1060" t="s">
        <v>901</v>
      </c>
      <c r="C202" s="1056" t="s">
        <v>793</v>
      </c>
      <c r="D202" s="1094" t="e">
        <f>'Edition 2'!F44</f>
        <v>#DIV/0!</v>
      </c>
      <c r="E202" s="1094"/>
      <c r="F202" s="1094"/>
      <c r="G202" s="1094"/>
      <c r="H202" s="1094"/>
      <c r="I202" s="1094"/>
      <c r="J202" s="1094"/>
      <c r="K202" s="1094"/>
      <c r="L202" s="1094"/>
      <c r="M202" s="1094"/>
      <c r="N202" s="1094"/>
      <c r="O202" s="1094"/>
      <c r="P202" s="1094"/>
      <c r="Q202" s="1094"/>
      <c r="R202" s="1094"/>
      <c r="S202" s="1094"/>
      <c r="T202" s="1094"/>
      <c r="U202" s="1094"/>
      <c r="V202" s="1094"/>
      <c r="W202" s="1094"/>
      <c r="X202" s="1094"/>
      <c r="Y202" s="1094"/>
      <c r="Z202" s="1094"/>
      <c r="AA202" s="1094"/>
      <c r="AB202" s="1094"/>
      <c r="AC202" s="1094"/>
      <c r="AD202" s="1094"/>
      <c r="AE202" s="1094"/>
      <c r="AF202" s="1094"/>
      <c r="AG202" s="1094"/>
      <c r="AH202" s="1094"/>
      <c r="AI202" s="1094"/>
      <c r="AJ202" s="1094"/>
      <c r="AK202" s="1094"/>
      <c r="AL202" s="1094"/>
      <c r="AM202" s="1094"/>
      <c r="AN202" s="1094"/>
      <c r="AO202" s="1094"/>
      <c r="IN202" s="1023"/>
      <c r="IO202" s="1023"/>
      <c r="IP202" s="1023"/>
      <c r="IQ202" s="1023"/>
      <c r="IR202" s="1023"/>
      <c r="IS202" s="1023"/>
      <c r="IT202" s="1023"/>
      <c r="IU202" s="1023"/>
      <c r="IV202" s="1023"/>
    </row>
    <row r="203" spans="1:256" s="1083" customFormat="1" ht="12.75" customHeight="1">
      <c r="A203" s="1055" t="s">
        <v>902</v>
      </c>
      <c r="B203" s="1060" t="s">
        <v>903</v>
      </c>
      <c r="C203" s="1056" t="s">
        <v>793</v>
      </c>
      <c r="D203" s="1094" t="e">
        <f>'Edition 2'!F45</f>
        <v>#DIV/0!</v>
      </c>
      <c r="E203" s="1094"/>
      <c r="F203" s="1094"/>
      <c r="G203" s="1094"/>
      <c r="H203" s="1094"/>
      <c r="I203" s="1094"/>
      <c r="J203" s="1094"/>
      <c r="K203" s="1094"/>
      <c r="L203" s="1094"/>
      <c r="M203" s="1094"/>
      <c r="N203" s="1094"/>
      <c r="O203" s="1094"/>
      <c r="P203" s="1094"/>
      <c r="Q203" s="1094"/>
      <c r="R203" s="1094"/>
      <c r="S203" s="1094"/>
      <c r="T203" s="1094"/>
      <c r="U203" s="1094"/>
      <c r="V203" s="1094"/>
      <c r="W203" s="1094"/>
      <c r="X203" s="1094"/>
      <c r="Y203" s="1094"/>
      <c r="Z203" s="1094"/>
      <c r="AA203" s="1094"/>
      <c r="AB203" s="1094"/>
      <c r="AC203" s="1094"/>
      <c r="AD203" s="1094"/>
      <c r="AE203" s="1094"/>
      <c r="AF203" s="1094"/>
      <c r="AG203" s="1094"/>
      <c r="AH203" s="1094"/>
      <c r="AI203" s="1094"/>
      <c r="AJ203" s="1094"/>
      <c r="AK203" s="1094"/>
      <c r="AL203" s="1094"/>
      <c r="AM203" s="1094"/>
      <c r="AN203" s="1094"/>
      <c r="AO203" s="1094"/>
      <c r="IN203" s="1023"/>
      <c r="IO203" s="1023"/>
      <c r="IP203" s="1023"/>
      <c r="IQ203" s="1023"/>
      <c r="IR203" s="1023"/>
      <c r="IS203" s="1023"/>
      <c r="IT203" s="1023"/>
      <c r="IU203" s="1023"/>
      <c r="IV203" s="1023"/>
    </row>
    <row r="204" spans="1:256" s="1083" customFormat="1" ht="12.75" customHeight="1">
      <c r="A204" s="1055" t="s">
        <v>904</v>
      </c>
      <c r="B204" s="1060" t="s">
        <v>905</v>
      </c>
      <c r="C204" s="1056" t="s">
        <v>793</v>
      </c>
      <c r="D204" s="1094" t="e">
        <f>'Edition 2'!F46</f>
        <v>#N/A</v>
      </c>
      <c r="E204" s="1094"/>
      <c r="F204" s="1094"/>
      <c r="G204" s="1094"/>
      <c r="H204" s="1094"/>
      <c r="I204" s="1094"/>
      <c r="J204" s="1094"/>
      <c r="K204" s="1094"/>
      <c r="L204" s="1094"/>
      <c r="M204" s="1094"/>
      <c r="N204" s="1094"/>
      <c r="O204" s="1094"/>
      <c r="P204" s="1094"/>
      <c r="Q204" s="1094"/>
      <c r="R204" s="1094"/>
      <c r="S204" s="1094"/>
      <c r="T204" s="1094"/>
      <c r="U204" s="1094"/>
      <c r="V204" s="1094"/>
      <c r="W204" s="1094"/>
      <c r="X204" s="1094"/>
      <c r="Y204" s="1094"/>
      <c r="Z204" s="1094"/>
      <c r="AA204" s="1094"/>
      <c r="AB204" s="1094"/>
      <c r="AC204" s="1094"/>
      <c r="AD204" s="1094"/>
      <c r="AE204" s="1094"/>
      <c r="AF204" s="1094"/>
      <c r="AG204" s="1094"/>
      <c r="AH204" s="1094"/>
      <c r="AI204" s="1094"/>
      <c r="AJ204" s="1094"/>
      <c r="AK204" s="1094"/>
      <c r="AL204" s="1094"/>
      <c r="AM204" s="1094"/>
      <c r="AN204" s="1094"/>
      <c r="AO204" s="1094"/>
      <c r="IN204" s="1023"/>
      <c r="IO204" s="1023"/>
      <c r="IP204" s="1023"/>
      <c r="IQ204" s="1023"/>
      <c r="IR204" s="1023"/>
      <c r="IS204" s="1023"/>
      <c r="IT204" s="1023"/>
      <c r="IU204" s="1023"/>
      <c r="IV204" s="1023"/>
    </row>
    <row r="205" spans="1:41" ht="12.75" customHeight="1">
      <c r="A205" s="1055" t="s">
        <v>906</v>
      </c>
      <c r="B205" s="1060" t="s">
        <v>907</v>
      </c>
      <c r="C205" s="1056" t="s">
        <v>793</v>
      </c>
      <c r="D205" s="1094" t="e">
        <f>'Edition 2'!F47</f>
        <v>#DIV/0!</v>
      </c>
      <c r="E205" s="1094"/>
      <c r="F205" s="1094"/>
      <c r="G205" s="1094"/>
      <c r="H205" s="1094"/>
      <c r="I205" s="1094"/>
      <c r="J205" s="1094"/>
      <c r="K205" s="1094"/>
      <c r="L205" s="1094"/>
      <c r="M205" s="1094"/>
      <c r="N205" s="1094"/>
      <c r="O205" s="1094"/>
      <c r="P205" s="1094"/>
      <c r="Q205" s="1094"/>
      <c r="R205" s="1094"/>
      <c r="S205" s="1094"/>
      <c r="T205" s="1094"/>
      <c r="U205" s="1094"/>
      <c r="V205" s="1094"/>
      <c r="W205" s="1094"/>
      <c r="X205" s="1094"/>
      <c r="Y205" s="1094"/>
      <c r="Z205" s="1094"/>
      <c r="AA205" s="1094"/>
      <c r="AB205" s="1094"/>
      <c r="AC205" s="1094"/>
      <c r="AD205" s="1094"/>
      <c r="AE205" s="1094"/>
      <c r="AF205" s="1094"/>
      <c r="AG205" s="1094"/>
      <c r="AH205" s="1094"/>
      <c r="AI205" s="1094"/>
      <c r="AJ205" s="1094"/>
      <c r="AK205" s="1094"/>
      <c r="AL205" s="1094"/>
      <c r="AM205" s="1094"/>
      <c r="AN205" s="1094"/>
      <c r="AO205" s="1094"/>
    </row>
    <row r="206" spans="1:43" ht="12.75" customHeight="1">
      <c r="A206" s="1055" t="s">
        <v>908</v>
      </c>
      <c r="B206" s="1060" t="s">
        <v>909</v>
      </c>
      <c r="C206" s="1056" t="s">
        <v>793</v>
      </c>
      <c r="D206" s="1094" t="e">
        <f>'Edition 2'!F48</f>
        <v>#N/A</v>
      </c>
      <c r="E206" s="1094"/>
      <c r="F206" s="1094"/>
      <c r="G206" s="1094"/>
      <c r="H206" s="1094"/>
      <c r="I206" s="1094"/>
      <c r="J206" s="1094"/>
      <c r="K206" s="1094"/>
      <c r="L206" s="1094"/>
      <c r="M206" s="1094"/>
      <c r="N206" s="1094"/>
      <c r="O206" s="1094"/>
      <c r="P206" s="1094"/>
      <c r="Q206" s="1094"/>
      <c r="R206" s="1094"/>
      <c r="S206" s="1094"/>
      <c r="T206" s="1094"/>
      <c r="U206" s="1094"/>
      <c r="V206" s="1094"/>
      <c r="W206" s="1094"/>
      <c r="X206" s="1094"/>
      <c r="Y206" s="1094"/>
      <c r="Z206" s="1094"/>
      <c r="AA206" s="1094"/>
      <c r="AB206" s="1094"/>
      <c r="AC206" s="1094"/>
      <c r="AD206" s="1094"/>
      <c r="AE206" s="1094"/>
      <c r="AF206" s="1094"/>
      <c r="AG206" s="1094"/>
      <c r="AH206" s="1094"/>
      <c r="AI206" s="1094"/>
      <c r="AJ206" s="1094"/>
      <c r="AK206" s="1094"/>
      <c r="AL206" s="1094"/>
      <c r="AM206" s="1094"/>
      <c r="AN206" s="1094"/>
      <c r="AO206" s="1094"/>
      <c r="AP206" s="1041"/>
      <c r="AQ206" s="1041"/>
    </row>
    <row r="207" spans="1:43" ht="12.75" customHeight="1">
      <c r="A207" s="1055" t="s">
        <v>910</v>
      </c>
      <c r="B207" s="1060" t="s">
        <v>911</v>
      </c>
      <c r="C207" s="1056" t="s">
        <v>793</v>
      </c>
      <c r="D207" s="1094" t="e">
        <f>'Edition 2'!F49</f>
        <v>#DIV/0!</v>
      </c>
      <c r="E207" s="1094"/>
      <c r="F207" s="1094"/>
      <c r="G207" s="1094"/>
      <c r="H207" s="1094"/>
      <c r="I207" s="1094"/>
      <c r="J207" s="1094"/>
      <c r="K207" s="1094"/>
      <c r="L207" s="1094"/>
      <c r="M207" s="1094"/>
      <c r="N207" s="1094"/>
      <c r="O207" s="1094"/>
      <c r="P207" s="1094"/>
      <c r="Q207" s="1094"/>
      <c r="R207" s="1094"/>
      <c r="S207" s="1094"/>
      <c r="T207" s="1094"/>
      <c r="U207" s="1094"/>
      <c r="V207" s="1094"/>
      <c r="W207" s="1094"/>
      <c r="X207" s="1094"/>
      <c r="Y207" s="1094"/>
      <c r="Z207" s="1094"/>
      <c r="AA207" s="1094"/>
      <c r="AB207" s="1094"/>
      <c r="AC207" s="1094"/>
      <c r="AD207" s="1094"/>
      <c r="AE207" s="1094"/>
      <c r="AF207" s="1094"/>
      <c r="AG207" s="1094"/>
      <c r="AH207" s="1094"/>
      <c r="AI207" s="1094"/>
      <c r="AJ207" s="1094"/>
      <c r="AK207" s="1094"/>
      <c r="AL207" s="1094"/>
      <c r="AM207" s="1094"/>
      <c r="AN207" s="1094"/>
      <c r="AO207" s="1094"/>
      <c r="AP207" s="1041"/>
      <c r="AQ207" s="1041"/>
    </row>
    <row r="208" spans="1:43" ht="12.75" customHeight="1">
      <c r="A208" s="1055" t="s">
        <v>912</v>
      </c>
      <c r="B208" s="1060" t="s">
        <v>913</v>
      </c>
      <c r="C208" s="1056" t="s">
        <v>914</v>
      </c>
      <c r="D208" s="1094" t="e">
        <f>'Edition 2'!F50</f>
        <v>#DIV/0!</v>
      </c>
      <c r="E208" s="1094"/>
      <c r="F208" s="1094"/>
      <c r="G208" s="1094"/>
      <c r="H208" s="1094"/>
      <c r="I208" s="1094"/>
      <c r="J208" s="1094"/>
      <c r="K208" s="1094"/>
      <c r="L208" s="1094"/>
      <c r="M208" s="1094"/>
      <c r="N208" s="1094"/>
      <c r="O208" s="1094"/>
      <c r="P208" s="1094"/>
      <c r="Q208" s="1094"/>
      <c r="R208" s="1094"/>
      <c r="S208" s="1094"/>
      <c r="T208" s="1094"/>
      <c r="U208" s="1094"/>
      <c r="V208" s="1094"/>
      <c r="W208" s="1094"/>
      <c r="X208" s="1094"/>
      <c r="Y208" s="1094"/>
      <c r="Z208" s="1094"/>
      <c r="AA208" s="1094"/>
      <c r="AB208" s="1094"/>
      <c r="AC208" s="1094"/>
      <c r="AD208" s="1094"/>
      <c r="AE208" s="1094"/>
      <c r="AF208" s="1094"/>
      <c r="AG208" s="1094"/>
      <c r="AH208" s="1094"/>
      <c r="AI208" s="1094"/>
      <c r="AJ208" s="1094"/>
      <c r="AK208" s="1094"/>
      <c r="AL208" s="1094"/>
      <c r="AM208" s="1094"/>
      <c r="AN208" s="1094"/>
      <c r="AO208" s="1094"/>
      <c r="AP208" s="1041"/>
      <c r="AQ208" s="1041"/>
    </row>
    <row r="209" spans="1:45" ht="12.75" customHeight="1">
      <c r="A209" s="1055" t="s">
        <v>915</v>
      </c>
      <c r="B209" s="1060" t="s">
        <v>916</v>
      </c>
      <c r="C209" s="1056" t="s">
        <v>914</v>
      </c>
      <c r="D209" s="1094" t="e">
        <f>'Edition 2'!F51</f>
        <v>#DIV/0!</v>
      </c>
      <c r="E209" s="1094"/>
      <c r="F209" s="1094"/>
      <c r="G209" s="1094"/>
      <c r="H209" s="1094"/>
      <c r="I209" s="1094"/>
      <c r="J209" s="1094"/>
      <c r="K209" s="1094"/>
      <c r="L209" s="1094"/>
      <c r="M209" s="1094"/>
      <c r="N209" s="1094"/>
      <c r="O209" s="1094"/>
      <c r="P209" s="1094"/>
      <c r="Q209" s="1094"/>
      <c r="R209" s="1094"/>
      <c r="S209" s="1094"/>
      <c r="T209" s="1094"/>
      <c r="U209" s="1094"/>
      <c r="V209" s="1094"/>
      <c r="W209" s="1094"/>
      <c r="X209" s="1094"/>
      <c r="Y209" s="1094"/>
      <c r="Z209" s="1094"/>
      <c r="AA209" s="1094"/>
      <c r="AB209" s="1094"/>
      <c r="AC209" s="1094"/>
      <c r="AD209" s="1094"/>
      <c r="AE209" s="1094"/>
      <c r="AF209" s="1094"/>
      <c r="AG209" s="1094"/>
      <c r="AH209" s="1094"/>
      <c r="AI209" s="1094"/>
      <c r="AJ209" s="1094"/>
      <c r="AK209" s="1094"/>
      <c r="AL209" s="1094"/>
      <c r="AM209" s="1094"/>
      <c r="AN209" s="1094"/>
      <c r="AO209" s="1094"/>
      <c r="AP209" s="1102"/>
      <c r="AQ209" s="1102"/>
      <c r="AR209" s="1109"/>
      <c r="AS209" s="1109"/>
    </row>
    <row r="210" spans="1:45" ht="12.75" customHeight="1">
      <c r="A210" s="1113" t="s">
        <v>917</v>
      </c>
      <c r="B210" s="1114" t="s">
        <v>918</v>
      </c>
      <c r="C210" s="1056" t="s">
        <v>919</v>
      </c>
      <c r="D210" s="1094" t="e">
        <f>'Edition 2'!F57</f>
        <v>#DIV/0!</v>
      </c>
      <c r="E210" s="1094"/>
      <c r="F210" s="1094"/>
      <c r="G210" s="1094"/>
      <c r="H210" s="1094"/>
      <c r="I210" s="1094"/>
      <c r="J210" s="1094"/>
      <c r="K210" s="1094"/>
      <c r="L210" s="1094"/>
      <c r="M210" s="1094"/>
      <c r="N210" s="1094"/>
      <c r="O210" s="1094"/>
      <c r="P210" s="1094"/>
      <c r="Q210" s="1094"/>
      <c r="R210" s="1094"/>
      <c r="S210" s="1094"/>
      <c r="T210" s="1094"/>
      <c r="U210" s="1094"/>
      <c r="V210" s="1094"/>
      <c r="W210" s="1094"/>
      <c r="X210" s="1094"/>
      <c r="Y210" s="1094"/>
      <c r="Z210" s="1094"/>
      <c r="AA210" s="1094"/>
      <c r="AB210" s="1094"/>
      <c r="AC210" s="1094"/>
      <c r="AD210" s="1094"/>
      <c r="AE210" s="1094"/>
      <c r="AF210" s="1094"/>
      <c r="AG210" s="1094"/>
      <c r="AH210" s="1094"/>
      <c r="AI210" s="1094"/>
      <c r="AJ210" s="1094"/>
      <c r="AK210" s="1094"/>
      <c r="AL210" s="1094"/>
      <c r="AM210" s="1094"/>
      <c r="AN210" s="1094"/>
      <c r="AO210" s="1094"/>
      <c r="AP210" s="1102"/>
      <c r="AQ210" s="1102"/>
      <c r="AR210" s="1109"/>
      <c r="AS210" s="1109"/>
    </row>
    <row r="211" spans="1:45" ht="12.75" customHeight="1">
      <c r="A211" s="1113" t="s">
        <v>920</v>
      </c>
      <c r="B211" s="1114" t="s">
        <v>921</v>
      </c>
      <c r="C211" s="1115" t="s">
        <v>539</v>
      </c>
      <c r="D211" s="1116" t="e">
        <f>'Edition 2'!F58</f>
        <v>#DIV/0!</v>
      </c>
      <c r="E211" s="1116"/>
      <c r="F211" s="1116"/>
      <c r="G211" s="1116"/>
      <c r="H211" s="1116"/>
      <c r="I211" s="1116"/>
      <c r="J211" s="1116"/>
      <c r="K211" s="1116"/>
      <c r="L211" s="1116"/>
      <c r="M211" s="1116"/>
      <c r="N211" s="1116"/>
      <c r="O211" s="1116"/>
      <c r="P211" s="1116"/>
      <c r="Q211" s="1116"/>
      <c r="R211" s="1116"/>
      <c r="S211" s="1116"/>
      <c r="T211" s="1116"/>
      <c r="U211" s="1116"/>
      <c r="V211" s="1116"/>
      <c r="W211" s="1116"/>
      <c r="X211" s="1116"/>
      <c r="Y211" s="1116"/>
      <c r="Z211" s="1116"/>
      <c r="AA211" s="1116"/>
      <c r="AB211" s="1116"/>
      <c r="AC211" s="1116"/>
      <c r="AD211" s="1116"/>
      <c r="AE211" s="1116"/>
      <c r="AF211" s="1116"/>
      <c r="AG211" s="1116"/>
      <c r="AH211" s="1116"/>
      <c r="AI211" s="1116"/>
      <c r="AJ211" s="1116"/>
      <c r="AK211" s="1116"/>
      <c r="AL211" s="1116"/>
      <c r="AM211" s="1116"/>
      <c r="AN211" s="1116"/>
      <c r="AO211" s="1116"/>
      <c r="AP211" s="1102"/>
      <c r="AQ211" s="1102"/>
      <c r="AR211" s="1109"/>
      <c r="AS211" s="1109"/>
    </row>
    <row r="212" spans="1:45" ht="12.75" customHeight="1">
      <c r="A212" s="1113" t="s">
        <v>922</v>
      </c>
      <c r="B212" s="1114" t="s">
        <v>923</v>
      </c>
      <c r="C212" s="1056" t="s">
        <v>924</v>
      </c>
      <c r="D212" s="1094" t="e">
        <f>'Edition 2'!F59</f>
        <v>#DIV/0!</v>
      </c>
      <c r="E212" s="1094"/>
      <c r="F212" s="1094"/>
      <c r="G212" s="1094"/>
      <c r="H212" s="1094"/>
      <c r="I212" s="1094"/>
      <c r="J212" s="1094"/>
      <c r="K212" s="1094"/>
      <c r="L212" s="1094"/>
      <c r="M212" s="1094"/>
      <c r="N212" s="1094"/>
      <c r="O212" s="1094"/>
      <c r="P212" s="1094"/>
      <c r="Q212" s="1094"/>
      <c r="R212" s="1094"/>
      <c r="S212" s="1094"/>
      <c r="T212" s="1094"/>
      <c r="U212" s="1094"/>
      <c r="V212" s="1094"/>
      <c r="W212" s="1094"/>
      <c r="X212" s="1094"/>
      <c r="Y212" s="1094"/>
      <c r="Z212" s="1094"/>
      <c r="AA212" s="1094"/>
      <c r="AB212" s="1094"/>
      <c r="AC212" s="1094"/>
      <c r="AD212" s="1094"/>
      <c r="AE212" s="1094"/>
      <c r="AF212" s="1094"/>
      <c r="AG212" s="1094"/>
      <c r="AH212" s="1094"/>
      <c r="AI212" s="1094"/>
      <c r="AJ212" s="1094"/>
      <c r="AK212" s="1094"/>
      <c r="AL212" s="1094"/>
      <c r="AM212" s="1094"/>
      <c r="AN212" s="1094"/>
      <c r="AO212" s="1094"/>
      <c r="AP212" s="1102"/>
      <c r="AQ212" s="1102"/>
      <c r="AR212" s="1109"/>
      <c r="AS212" s="1109"/>
    </row>
    <row r="213" spans="1:45" ht="12.75" customHeight="1">
      <c r="A213" s="1113" t="s">
        <v>925</v>
      </c>
      <c r="B213" s="1114" t="s">
        <v>926</v>
      </c>
      <c r="C213" s="1115" t="s">
        <v>539</v>
      </c>
      <c r="D213" s="1116" t="e">
        <f>'Edition 2'!F60</f>
        <v>#DIV/0!</v>
      </c>
      <c r="E213" s="1116"/>
      <c r="F213" s="1116"/>
      <c r="G213" s="1116"/>
      <c r="H213" s="1116"/>
      <c r="I213" s="1116"/>
      <c r="J213" s="1116"/>
      <c r="K213" s="1116"/>
      <c r="L213" s="1116"/>
      <c r="M213" s="1116"/>
      <c r="N213" s="1116"/>
      <c r="O213" s="1116"/>
      <c r="P213" s="1116"/>
      <c r="Q213" s="1116"/>
      <c r="R213" s="1116"/>
      <c r="S213" s="1116"/>
      <c r="T213" s="1116"/>
      <c r="U213" s="1116"/>
      <c r="V213" s="1116"/>
      <c r="W213" s="1116"/>
      <c r="X213" s="1116"/>
      <c r="Y213" s="1116"/>
      <c r="Z213" s="1116"/>
      <c r="AA213" s="1116"/>
      <c r="AB213" s="1116"/>
      <c r="AC213" s="1116"/>
      <c r="AD213" s="1116"/>
      <c r="AE213" s="1116"/>
      <c r="AF213" s="1116"/>
      <c r="AG213" s="1116"/>
      <c r="AH213" s="1116"/>
      <c r="AI213" s="1116"/>
      <c r="AJ213" s="1116"/>
      <c r="AK213" s="1116"/>
      <c r="AL213" s="1116"/>
      <c r="AM213" s="1116"/>
      <c r="AN213" s="1116"/>
      <c r="AO213" s="1116"/>
      <c r="AP213" s="1102"/>
      <c r="AQ213" s="1102"/>
      <c r="AR213" s="1109"/>
      <c r="AS213" s="1109"/>
    </row>
    <row r="214" spans="1:45" ht="12.75" customHeight="1">
      <c r="A214" s="1055" t="s">
        <v>927</v>
      </c>
      <c r="B214" s="1060" t="s">
        <v>928</v>
      </c>
      <c r="C214" s="1056" t="s">
        <v>924</v>
      </c>
      <c r="D214" s="1094" t="e">
        <f>'Edition 2'!F61</f>
        <v>#DIV/0!</v>
      </c>
      <c r="E214" s="1094"/>
      <c r="F214" s="1094"/>
      <c r="G214" s="1094"/>
      <c r="H214" s="1094"/>
      <c r="I214" s="1094"/>
      <c r="J214" s="1094"/>
      <c r="K214" s="1094"/>
      <c r="L214" s="1094"/>
      <c r="M214" s="1094"/>
      <c r="N214" s="1094"/>
      <c r="O214" s="1094"/>
      <c r="P214" s="1094"/>
      <c r="Q214" s="1094"/>
      <c r="R214" s="1094"/>
      <c r="S214" s="1094"/>
      <c r="T214" s="1094"/>
      <c r="U214" s="1094"/>
      <c r="V214" s="1094"/>
      <c r="W214" s="1094"/>
      <c r="X214" s="1094"/>
      <c r="Y214" s="1094"/>
      <c r="Z214" s="1094"/>
      <c r="AA214" s="1094"/>
      <c r="AB214" s="1094"/>
      <c r="AC214" s="1094"/>
      <c r="AD214" s="1094"/>
      <c r="AE214" s="1094"/>
      <c r="AF214" s="1094"/>
      <c r="AG214" s="1094"/>
      <c r="AH214" s="1094"/>
      <c r="AI214" s="1094"/>
      <c r="AJ214" s="1094"/>
      <c r="AK214" s="1094"/>
      <c r="AL214" s="1094"/>
      <c r="AM214" s="1094"/>
      <c r="AN214" s="1094"/>
      <c r="AO214" s="1094"/>
      <c r="AP214" s="1102"/>
      <c r="AQ214" s="1102"/>
      <c r="AR214" s="1109"/>
      <c r="AS214" s="1109"/>
    </row>
    <row r="215" spans="1:45" ht="12.75" customHeight="1">
      <c r="A215" s="1055" t="s">
        <v>929</v>
      </c>
      <c r="B215" s="1060" t="s">
        <v>930</v>
      </c>
      <c r="C215" s="1056" t="s">
        <v>924</v>
      </c>
      <c r="D215" s="1094">
        <f>'Edition 2'!F62</f>
        <v>0</v>
      </c>
      <c r="E215" s="1094"/>
      <c r="F215" s="1094"/>
      <c r="G215" s="1094"/>
      <c r="H215" s="1094"/>
      <c r="I215" s="1094"/>
      <c r="J215" s="1094"/>
      <c r="K215" s="1094"/>
      <c r="L215" s="1094"/>
      <c r="M215" s="1094"/>
      <c r="N215" s="1094"/>
      <c r="O215" s="1094"/>
      <c r="P215" s="1094"/>
      <c r="Q215" s="1094"/>
      <c r="R215" s="1094"/>
      <c r="S215" s="1094"/>
      <c r="T215" s="1094"/>
      <c r="U215" s="1094"/>
      <c r="V215" s="1094"/>
      <c r="W215" s="1094"/>
      <c r="X215" s="1094"/>
      <c r="Y215" s="1094"/>
      <c r="Z215" s="1094"/>
      <c r="AA215" s="1094"/>
      <c r="AB215" s="1094"/>
      <c r="AC215" s="1094"/>
      <c r="AD215" s="1094"/>
      <c r="AE215" s="1094"/>
      <c r="AF215" s="1094"/>
      <c r="AG215" s="1094"/>
      <c r="AH215" s="1094"/>
      <c r="AI215" s="1094"/>
      <c r="AJ215" s="1094"/>
      <c r="AK215" s="1094"/>
      <c r="AL215" s="1094"/>
      <c r="AM215" s="1094"/>
      <c r="AN215" s="1094"/>
      <c r="AO215" s="1094"/>
      <c r="AP215" s="1102"/>
      <c r="AQ215" s="1102"/>
      <c r="AR215" s="1109"/>
      <c r="AS215" s="1109"/>
    </row>
    <row r="216" spans="1:45" ht="12.75" customHeight="1">
      <c r="A216" s="1055" t="s">
        <v>931</v>
      </c>
      <c r="B216" s="1060" t="s">
        <v>932</v>
      </c>
      <c r="C216" s="1056" t="s">
        <v>924</v>
      </c>
      <c r="D216" s="1094" t="e">
        <f>Calcul!B29/UMOns</f>
        <v>#DIV/0!</v>
      </c>
      <c r="E216" s="1094"/>
      <c r="F216" s="1094"/>
      <c r="G216" s="1094"/>
      <c r="H216" s="1094"/>
      <c r="I216" s="1094"/>
      <c r="J216" s="1094"/>
      <c r="K216" s="1094"/>
      <c r="L216" s="1094"/>
      <c r="M216" s="1094"/>
      <c r="N216" s="1094"/>
      <c r="O216" s="1094"/>
      <c r="P216" s="1094"/>
      <c r="Q216" s="1094"/>
      <c r="R216" s="1094"/>
      <c r="S216" s="1094"/>
      <c r="T216" s="1094"/>
      <c r="U216" s="1094"/>
      <c r="V216" s="1094"/>
      <c r="W216" s="1094"/>
      <c r="X216" s="1094"/>
      <c r="Y216" s="1094"/>
      <c r="Z216" s="1094"/>
      <c r="AA216" s="1094"/>
      <c r="AB216" s="1094"/>
      <c r="AC216" s="1094"/>
      <c r="AD216" s="1094"/>
      <c r="AE216" s="1094"/>
      <c r="AF216" s="1094"/>
      <c r="AG216" s="1094"/>
      <c r="AH216" s="1094"/>
      <c r="AI216" s="1094"/>
      <c r="AJ216" s="1094"/>
      <c r="AK216" s="1094"/>
      <c r="AL216" s="1094"/>
      <c r="AM216" s="1094"/>
      <c r="AN216" s="1094"/>
      <c r="AO216" s="1094"/>
      <c r="AP216" s="1102"/>
      <c r="AQ216" s="1102"/>
      <c r="AR216" s="1109"/>
      <c r="AS216" s="1109"/>
    </row>
    <row r="217" spans="1:45" ht="15" customHeight="1">
      <c r="A217" s="1047" t="s">
        <v>933</v>
      </c>
      <c r="B217" s="1047"/>
      <c r="C217" s="1048"/>
      <c r="D217" s="1049"/>
      <c r="E217" s="1049"/>
      <c r="F217" s="1049"/>
      <c r="G217" s="1049"/>
      <c r="H217" s="1049"/>
      <c r="I217" s="1049"/>
      <c r="J217" s="1049"/>
      <c r="K217" s="1049"/>
      <c r="L217" s="1049"/>
      <c r="M217" s="1049"/>
      <c r="N217" s="1049"/>
      <c r="O217" s="1049"/>
      <c r="P217" s="1049"/>
      <c r="Q217" s="1049"/>
      <c r="R217" s="1049"/>
      <c r="S217" s="1049"/>
      <c r="T217" s="1049"/>
      <c r="U217" s="1049"/>
      <c r="V217" s="1049"/>
      <c r="W217" s="1049"/>
      <c r="X217" s="1049"/>
      <c r="Y217" s="1049"/>
      <c r="Z217" s="1049"/>
      <c r="AA217" s="1049"/>
      <c r="AB217" s="1049"/>
      <c r="AC217" s="1049"/>
      <c r="AD217" s="1049"/>
      <c r="AE217" s="1049"/>
      <c r="AF217" s="1049"/>
      <c r="AG217" s="1049"/>
      <c r="AH217" s="1049"/>
      <c r="AI217" s="1049"/>
      <c r="AJ217" s="1049"/>
      <c r="AK217" s="1049"/>
      <c r="AL217" s="1049"/>
      <c r="AM217" s="1049"/>
      <c r="AN217" s="1049"/>
      <c r="AO217" s="1049"/>
      <c r="AP217" s="1102"/>
      <c r="AQ217" s="1102"/>
      <c r="AR217" s="1109"/>
      <c r="AS217" s="1109"/>
    </row>
    <row r="218" spans="1:45" ht="12.75" customHeight="1">
      <c r="A218" s="1055" t="s">
        <v>99</v>
      </c>
      <c r="B218" s="1060" t="s">
        <v>98</v>
      </c>
      <c r="C218" s="1056"/>
      <c r="D218" s="1117">
        <f>D19</f>
      </c>
      <c r="E218" s="1117"/>
      <c r="F218" s="1117"/>
      <c r="G218" s="1117"/>
      <c r="H218" s="1117"/>
      <c r="I218" s="1117"/>
      <c r="J218" s="1117"/>
      <c r="K218" s="1117"/>
      <c r="L218" s="1117"/>
      <c r="M218" s="1117"/>
      <c r="N218" s="1117"/>
      <c r="O218" s="1117"/>
      <c r="P218" s="1117"/>
      <c r="Q218" s="1117"/>
      <c r="R218" s="1117"/>
      <c r="S218" s="1117"/>
      <c r="T218" s="1117"/>
      <c r="U218" s="1117"/>
      <c r="V218" s="1117"/>
      <c r="W218" s="1117"/>
      <c r="X218" s="1117"/>
      <c r="Y218" s="1117"/>
      <c r="Z218" s="1117"/>
      <c r="AA218" s="1117"/>
      <c r="AB218" s="1117"/>
      <c r="AC218" s="1117"/>
      <c r="AD218" s="1117"/>
      <c r="AE218" s="1117"/>
      <c r="AF218" s="1117"/>
      <c r="AG218" s="1117"/>
      <c r="AH218" s="1117"/>
      <c r="AI218" s="1117"/>
      <c r="AJ218" s="1117"/>
      <c r="AK218" s="1117"/>
      <c r="AL218" s="1117"/>
      <c r="AM218" s="1117"/>
      <c r="AN218" s="1117"/>
      <c r="AO218" s="1117"/>
      <c r="AP218" s="1102"/>
      <c r="AQ218" s="1102"/>
      <c r="AR218" s="1109"/>
      <c r="AS218" s="1109"/>
    </row>
    <row r="219" spans="1:45" ht="12.75" customHeight="1">
      <c r="A219" s="1055" t="s">
        <v>104</v>
      </c>
      <c r="B219" s="1060" t="s">
        <v>103</v>
      </c>
      <c r="C219" s="1056"/>
      <c r="D219" s="1117">
        <f>D21</f>
        <v>2019</v>
      </c>
      <c r="E219" s="1117"/>
      <c r="F219" s="1117"/>
      <c r="G219" s="1117"/>
      <c r="H219" s="1117"/>
      <c r="I219" s="1117"/>
      <c r="J219" s="1117"/>
      <c r="K219" s="1117"/>
      <c r="L219" s="1117"/>
      <c r="M219" s="1117"/>
      <c r="N219" s="1117"/>
      <c r="O219" s="1117"/>
      <c r="P219" s="1117"/>
      <c r="Q219" s="1117"/>
      <c r="R219" s="1117"/>
      <c r="S219" s="1117"/>
      <c r="T219" s="1117"/>
      <c r="U219" s="1117"/>
      <c r="V219" s="1117"/>
      <c r="W219" s="1117"/>
      <c r="X219" s="1117"/>
      <c r="Y219" s="1117"/>
      <c r="Z219" s="1117"/>
      <c r="AA219" s="1117"/>
      <c r="AB219" s="1117"/>
      <c r="AC219" s="1117"/>
      <c r="AD219" s="1117"/>
      <c r="AE219" s="1117"/>
      <c r="AF219" s="1117"/>
      <c r="AG219" s="1117"/>
      <c r="AH219" s="1117"/>
      <c r="AI219" s="1117"/>
      <c r="AJ219" s="1117"/>
      <c r="AK219" s="1117"/>
      <c r="AL219" s="1117"/>
      <c r="AM219" s="1117"/>
      <c r="AN219" s="1117"/>
      <c r="AO219" s="1117"/>
      <c r="AP219" s="1102"/>
      <c r="AQ219" s="1102"/>
      <c r="AR219" s="1109"/>
      <c r="AS219" s="1109"/>
    </row>
    <row r="220" spans="1:45" ht="12.75" customHeight="1">
      <c r="A220" s="1055" t="s">
        <v>777</v>
      </c>
      <c r="B220" s="1060" t="s">
        <v>101</v>
      </c>
      <c r="C220" s="1056"/>
      <c r="D220" s="1117">
        <f>D20</f>
      </c>
      <c r="E220" s="1117"/>
      <c r="F220" s="1117"/>
      <c r="G220" s="1117"/>
      <c r="H220" s="1117"/>
      <c r="I220" s="1117"/>
      <c r="J220" s="1117"/>
      <c r="K220" s="1117"/>
      <c r="L220" s="1117"/>
      <c r="M220" s="1117"/>
      <c r="N220" s="1117"/>
      <c r="O220" s="1117"/>
      <c r="P220" s="1117"/>
      <c r="Q220" s="1117"/>
      <c r="R220" s="1117"/>
      <c r="S220" s="1117"/>
      <c r="T220" s="1117"/>
      <c r="U220" s="1117"/>
      <c r="V220" s="1117"/>
      <c r="W220" s="1117"/>
      <c r="X220" s="1117"/>
      <c r="Y220" s="1117"/>
      <c r="Z220" s="1117"/>
      <c r="AA220" s="1117"/>
      <c r="AB220" s="1117"/>
      <c r="AC220" s="1117"/>
      <c r="AD220" s="1117"/>
      <c r="AE220" s="1117"/>
      <c r="AF220" s="1117"/>
      <c r="AG220" s="1117"/>
      <c r="AH220" s="1117"/>
      <c r="AI220" s="1117"/>
      <c r="AJ220" s="1117"/>
      <c r="AK220" s="1117"/>
      <c r="AL220" s="1117"/>
      <c r="AM220" s="1117"/>
      <c r="AN220" s="1117"/>
      <c r="AO220" s="1117"/>
      <c r="AP220" s="1102"/>
      <c r="AQ220" s="1102"/>
      <c r="AR220" s="1109"/>
      <c r="AS220" s="1109"/>
    </row>
    <row r="221" spans="1:45" ht="12.75" customHeight="1">
      <c r="A221" s="1055" t="s">
        <v>791</v>
      </c>
      <c r="B221" s="1060" t="s">
        <v>792</v>
      </c>
      <c r="C221" s="1056" t="s">
        <v>793</v>
      </c>
      <c r="D221" s="1118" t="e">
        <f aca="true" t="shared" si="0" ref="D221:D264">D134</f>
        <v>#DIV/0!</v>
      </c>
      <c r="E221" s="1118"/>
      <c r="F221" s="1118"/>
      <c r="G221" s="1118"/>
      <c r="H221" s="1118"/>
      <c r="I221" s="1118"/>
      <c r="J221" s="1118"/>
      <c r="K221" s="1118"/>
      <c r="L221" s="1118"/>
      <c r="M221" s="1118"/>
      <c r="N221" s="1118"/>
      <c r="O221" s="1118"/>
      <c r="P221" s="1118"/>
      <c r="Q221" s="1118"/>
      <c r="R221" s="1118"/>
      <c r="S221" s="1118"/>
      <c r="T221" s="1118"/>
      <c r="U221" s="1118"/>
      <c r="V221" s="1118"/>
      <c r="W221" s="1118"/>
      <c r="X221" s="1118"/>
      <c r="Y221" s="1118"/>
      <c r="Z221" s="1118"/>
      <c r="AA221" s="1118"/>
      <c r="AB221" s="1118"/>
      <c r="AC221" s="1118"/>
      <c r="AD221" s="1118"/>
      <c r="AE221" s="1118"/>
      <c r="AF221" s="1118"/>
      <c r="AG221" s="1118"/>
      <c r="AH221" s="1118"/>
      <c r="AI221" s="1118"/>
      <c r="AJ221" s="1118"/>
      <c r="AK221" s="1118"/>
      <c r="AL221" s="1118"/>
      <c r="AM221" s="1118"/>
      <c r="AN221" s="1118"/>
      <c r="AO221" s="1118"/>
      <c r="AP221" s="1102"/>
      <c r="AQ221" s="1102"/>
      <c r="AR221" s="1109"/>
      <c r="AS221" s="1109"/>
    </row>
    <row r="222" spans="1:45" ht="12.75" customHeight="1">
      <c r="A222" s="1055" t="s">
        <v>794</v>
      </c>
      <c r="B222" s="1060" t="s">
        <v>795</v>
      </c>
      <c r="C222" s="1056" t="s">
        <v>793</v>
      </c>
      <c r="D222" s="1118" t="e">
        <f t="shared" si="0"/>
        <v>#DIV/0!</v>
      </c>
      <c r="E222" s="1118"/>
      <c r="F222" s="1118"/>
      <c r="G222" s="1118"/>
      <c r="H222" s="1118"/>
      <c r="I222" s="1118"/>
      <c r="J222" s="1118"/>
      <c r="K222" s="1118"/>
      <c r="L222" s="1118"/>
      <c r="M222" s="1118"/>
      <c r="N222" s="1118"/>
      <c r="O222" s="1118"/>
      <c r="P222" s="1118"/>
      <c r="Q222" s="1118"/>
      <c r="R222" s="1118"/>
      <c r="S222" s="1118"/>
      <c r="T222" s="1118"/>
      <c r="U222" s="1118"/>
      <c r="V222" s="1118"/>
      <c r="W222" s="1118"/>
      <c r="X222" s="1118"/>
      <c r="Y222" s="1118"/>
      <c r="Z222" s="1118"/>
      <c r="AA222" s="1118"/>
      <c r="AB222" s="1118"/>
      <c r="AC222" s="1118"/>
      <c r="AD222" s="1118"/>
      <c r="AE222" s="1118"/>
      <c r="AF222" s="1118"/>
      <c r="AG222" s="1118"/>
      <c r="AH222" s="1118"/>
      <c r="AI222" s="1118"/>
      <c r="AJ222" s="1118"/>
      <c r="AK222" s="1118"/>
      <c r="AL222" s="1118"/>
      <c r="AM222" s="1118"/>
      <c r="AN222" s="1118"/>
      <c r="AO222" s="1118"/>
      <c r="AP222" s="1102"/>
      <c r="AQ222" s="1102"/>
      <c r="AR222" s="1109"/>
      <c r="AS222" s="1109"/>
    </row>
    <row r="223" spans="1:45" ht="12.75" customHeight="1">
      <c r="A223" s="1055" t="s">
        <v>796</v>
      </c>
      <c r="B223" s="1060" t="s">
        <v>797</v>
      </c>
      <c r="C223" s="1056" t="s">
        <v>793</v>
      </c>
      <c r="D223" s="1118" t="e">
        <f t="shared" si="0"/>
        <v>#DIV/0!</v>
      </c>
      <c r="E223" s="1118"/>
      <c r="F223" s="1118"/>
      <c r="G223" s="1118"/>
      <c r="H223" s="1118"/>
      <c r="I223" s="1118"/>
      <c r="J223" s="1118"/>
      <c r="K223" s="1118"/>
      <c r="L223" s="1118"/>
      <c r="M223" s="1118"/>
      <c r="N223" s="1118"/>
      <c r="O223" s="1118"/>
      <c r="P223" s="1118"/>
      <c r="Q223" s="1118"/>
      <c r="R223" s="1118"/>
      <c r="S223" s="1118"/>
      <c r="T223" s="1118"/>
      <c r="U223" s="1118"/>
      <c r="V223" s="1118"/>
      <c r="W223" s="1118"/>
      <c r="X223" s="1118"/>
      <c r="Y223" s="1118"/>
      <c r="Z223" s="1118"/>
      <c r="AA223" s="1118"/>
      <c r="AB223" s="1118"/>
      <c r="AC223" s="1118"/>
      <c r="AD223" s="1118"/>
      <c r="AE223" s="1118"/>
      <c r="AF223" s="1118"/>
      <c r="AG223" s="1118"/>
      <c r="AH223" s="1118"/>
      <c r="AI223" s="1118"/>
      <c r="AJ223" s="1118"/>
      <c r="AK223" s="1118"/>
      <c r="AL223" s="1118"/>
      <c r="AM223" s="1118"/>
      <c r="AN223" s="1118"/>
      <c r="AO223" s="1118"/>
      <c r="AP223" s="1102"/>
      <c r="AQ223" s="1102"/>
      <c r="AR223" s="1109"/>
      <c r="AS223" s="1109"/>
    </row>
    <row r="224" spans="1:45" ht="12.75" customHeight="1">
      <c r="A224" s="1055" t="s">
        <v>798</v>
      </c>
      <c r="B224" s="1060" t="s">
        <v>613</v>
      </c>
      <c r="C224" s="1056" t="s">
        <v>793</v>
      </c>
      <c r="D224" s="1118" t="e">
        <f t="shared" si="0"/>
        <v>#DIV/0!</v>
      </c>
      <c r="E224" s="1118"/>
      <c r="F224" s="1118"/>
      <c r="G224" s="1118"/>
      <c r="H224" s="1118"/>
      <c r="I224" s="1118"/>
      <c r="J224" s="1118"/>
      <c r="K224" s="1118"/>
      <c r="L224" s="1118"/>
      <c r="M224" s="1118"/>
      <c r="N224" s="1118"/>
      <c r="O224" s="1118"/>
      <c r="P224" s="1118"/>
      <c r="Q224" s="1118"/>
      <c r="R224" s="1118"/>
      <c r="S224" s="1118"/>
      <c r="T224" s="1118"/>
      <c r="U224" s="1118"/>
      <c r="V224" s="1118"/>
      <c r="W224" s="1118"/>
      <c r="X224" s="1118"/>
      <c r="Y224" s="1118"/>
      <c r="Z224" s="1118"/>
      <c r="AA224" s="1118"/>
      <c r="AB224" s="1118"/>
      <c r="AC224" s="1118"/>
      <c r="AD224" s="1118"/>
      <c r="AE224" s="1118"/>
      <c r="AF224" s="1118"/>
      <c r="AG224" s="1118"/>
      <c r="AH224" s="1118"/>
      <c r="AI224" s="1118"/>
      <c r="AJ224" s="1118"/>
      <c r="AK224" s="1118"/>
      <c r="AL224" s="1118"/>
      <c r="AM224" s="1118"/>
      <c r="AN224" s="1118"/>
      <c r="AO224" s="1118"/>
      <c r="AP224" s="1102"/>
      <c r="AQ224" s="1102"/>
      <c r="AR224" s="1109"/>
      <c r="AS224" s="1109"/>
    </row>
    <row r="225" spans="1:45" ht="12.75" customHeight="1">
      <c r="A225" s="1055" t="s">
        <v>799</v>
      </c>
      <c r="B225" s="1060" t="s">
        <v>230</v>
      </c>
      <c r="C225" s="1056" t="s">
        <v>793</v>
      </c>
      <c r="D225" s="1118" t="e">
        <f t="shared" si="0"/>
        <v>#DIV/0!</v>
      </c>
      <c r="E225" s="1118"/>
      <c r="F225" s="1118"/>
      <c r="G225" s="1118"/>
      <c r="H225" s="1118"/>
      <c r="I225" s="1118"/>
      <c r="J225" s="1118"/>
      <c r="K225" s="1118"/>
      <c r="L225" s="1118"/>
      <c r="M225" s="1118"/>
      <c r="N225" s="1118"/>
      <c r="O225" s="1118"/>
      <c r="P225" s="1118"/>
      <c r="Q225" s="1118"/>
      <c r="R225" s="1118"/>
      <c r="S225" s="1118"/>
      <c r="T225" s="1118"/>
      <c r="U225" s="1118"/>
      <c r="V225" s="1118"/>
      <c r="W225" s="1118"/>
      <c r="X225" s="1118"/>
      <c r="Y225" s="1118"/>
      <c r="Z225" s="1118"/>
      <c r="AA225" s="1118"/>
      <c r="AB225" s="1118"/>
      <c r="AC225" s="1118"/>
      <c r="AD225" s="1118"/>
      <c r="AE225" s="1118"/>
      <c r="AF225" s="1118"/>
      <c r="AG225" s="1118"/>
      <c r="AH225" s="1118"/>
      <c r="AI225" s="1118"/>
      <c r="AJ225" s="1118"/>
      <c r="AK225" s="1118"/>
      <c r="AL225" s="1118"/>
      <c r="AM225" s="1118"/>
      <c r="AN225" s="1118"/>
      <c r="AO225" s="1118"/>
      <c r="AP225" s="1102"/>
      <c r="AQ225" s="1102"/>
      <c r="AR225" s="1109"/>
      <c r="AS225" s="1109"/>
    </row>
    <row r="226" spans="1:45" ht="12.75" customHeight="1">
      <c r="A226" s="1055" t="s">
        <v>800</v>
      </c>
      <c r="B226" s="1060" t="s">
        <v>801</v>
      </c>
      <c r="C226" s="1056" t="s">
        <v>793</v>
      </c>
      <c r="D226" s="1118" t="e">
        <f t="shared" si="0"/>
        <v>#DIV/0!</v>
      </c>
      <c r="E226" s="1118"/>
      <c r="F226" s="1118"/>
      <c r="G226" s="1118"/>
      <c r="H226" s="1118"/>
      <c r="I226" s="1118"/>
      <c r="J226" s="1118"/>
      <c r="K226" s="1118"/>
      <c r="L226" s="1118"/>
      <c r="M226" s="1118"/>
      <c r="N226" s="1118"/>
      <c r="O226" s="1118"/>
      <c r="P226" s="1118"/>
      <c r="Q226" s="1118"/>
      <c r="R226" s="1118"/>
      <c r="S226" s="1118"/>
      <c r="T226" s="1118"/>
      <c r="U226" s="1118"/>
      <c r="V226" s="1118"/>
      <c r="W226" s="1118"/>
      <c r="X226" s="1118"/>
      <c r="Y226" s="1118"/>
      <c r="Z226" s="1118"/>
      <c r="AA226" s="1118"/>
      <c r="AB226" s="1118"/>
      <c r="AC226" s="1118"/>
      <c r="AD226" s="1118"/>
      <c r="AE226" s="1118"/>
      <c r="AF226" s="1118"/>
      <c r="AG226" s="1118"/>
      <c r="AH226" s="1118"/>
      <c r="AI226" s="1118"/>
      <c r="AJ226" s="1118"/>
      <c r="AK226" s="1118"/>
      <c r="AL226" s="1118"/>
      <c r="AM226" s="1118"/>
      <c r="AN226" s="1118"/>
      <c r="AO226" s="1118"/>
      <c r="AP226" s="1102"/>
      <c r="AQ226" s="1102"/>
      <c r="AR226" s="1109"/>
      <c r="AS226" s="1109"/>
    </row>
    <row r="227" spans="1:45" ht="12.75" customHeight="1">
      <c r="A227" s="1055" t="s">
        <v>802</v>
      </c>
      <c r="B227" s="1060" t="s">
        <v>235</v>
      </c>
      <c r="C227" s="1056" t="s">
        <v>793</v>
      </c>
      <c r="D227" s="1118" t="e">
        <f t="shared" si="0"/>
        <v>#DIV/0!</v>
      </c>
      <c r="E227" s="1118"/>
      <c r="F227" s="1118"/>
      <c r="G227" s="1118"/>
      <c r="H227" s="1118"/>
      <c r="I227" s="1118"/>
      <c r="J227" s="1118"/>
      <c r="K227" s="1118"/>
      <c r="L227" s="1118"/>
      <c r="M227" s="1118"/>
      <c r="N227" s="1118"/>
      <c r="O227" s="1118"/>
      <c r="P227" s="1118"/>
      <c r="Q227" s="1118"/>
      <c r="R227" s="1118"/>
      <c r="S227" s="1118"/>
      <c r="T227" s="1118"/>
      <c r="U227" s="1118"/>
      <c r="V227" s="1118"/>
      <c r="W227" s="1118"/>
      <c r="X227" s="1118"/>
      <c r="Y227" s="1118"/>
      <c r="Z227" s="1118"/>
      <c r="AA227" s="1118"/>
      <c r="AB227" s="1118"/>
      <c r="AC227" s="1118"/>
      <c r="AD227" s="1118"/>
      <c r="AE227" s="1118"/>
      <c r="AF227" s="1118"/>
      <c r="AG227" s="1118"/>
      <c r="AH227" s="1118"/>
      <c r="AI227" s="1118"/>
      <c r="AJ227" s="1118"/>
      <c r="AK227" s="1118"/>
      <c r="AL227" s="1118"/>
      <c r="AM227" s="1118"/>
      <c r="AN227" s="1118"/>
      <c r="AO227" s="1118"/>
      <c r="AP227" s="1102"/>
      <c r="AQ227" s="1102"/>
      <c r="AR227" s="1109"/>
      <c r="AS227" s="1109"/>
    </row>
    <row r="228" spans="1:45" ht="12.75" customHeight="1">
      <c r="A228" s="1055" t="s">
        <v>803</v>
      </c>
      <c r="B228" s="1060" t="s">
        <v>242</v>
      </c>
      <c r="C228" s="1056" t="s">
        <v>793</v>
      </c>
      <c r="D228" s="1118" t="e">
        <f t="shared" si="0"/>
        <v>#DIV/0!</v>
      </c>
      <c r="E228" s="1118"/>
      <c r="F228" s="1118"/>
      <c r="G228" s="1118"/>
      <c r="H228" s="1118"/>
      <c r="I228" s="1118"/>
      <c r="J228" s="1118"/>
      <c r="K228" s="1118"/>
      <c r="L228" s="1118"/>
      <c r="M228" s="1118"/>
      <c r="N228" s="1118"/>
      <c r="O228" s="1118"/>
      <c r="P228" s="1118"/>
      <c r="Q228" s="1118"/>
      <c r="R228" s="1118"/>
      <c r="S228" s="1118"/>
      <c r="T228" s="1118"/>
      <c r="U228" s="1118"/>
      <c r="V228" s="1118"/>
      <c r="W228" s="1118"/>
      <c r="X228" s="1118"/>
      <c r="Y228" s="1118"/>
      <c r="Z228" s="1118"/>
      <c r="AA228" s="1118"/>
      <c r="AB228" s="1118"/>
      <c r="AC228" s="1118"/>
      <c r="AD228" s="1118"/>
      <c r="AE228" s="1118"/>
      <c r="AF228" s="1118"/>
      <c r="AG228" s="1118"/>
      <c r="AH228" s="1118"/>
      <c r="AI228" s="1118"/>
      <c r="AJ228" s="1118"/>
      <c r="AK228" s="1118"/>
      <c r="AL228" s="1118"/>
      <c r="AM228" s="1118"/>
      <c r="AN228" s="1118"/>
      <c r="AO228" s="1118"/>
      <c r="AP228" s="1102"/>
      <c r="AQ228" s="1102"/>
      <c r="AR228" s="1109"/>
      <c r="AS228" s="1109"/>
    </row>
    <row r="229" spans="1:45" ht="12.75" customHeight="1">
      <c r="A229" s="1055" t="s">
        <v>804</v>
      </c>
      <c r="B229" s="1060" t="s">
        <v>247</v>
      </c>
      <c r="C229" s="1056" t="s">
        <v>793</v>
      </c>
      <c r="D229" s="1118" t="e">
        <f t="shared" si="0"/>
        <v>#DIV/0!</v>
      </c>
      <c r="E229" s="1118"/>
      <c r="F229" s="1118"/>
      <c r="G229" s="1118"/>
      <c r="H229" s="1118"/>
      <c r="I229" s="1118"/>
      <c r="J229" s="1118"/>
      <c r="K229" s="1118"/>
      <c r="L229" s="1118"/>
      <c r="M229" s="1118"/>
      <c r="N229" s="1118"/>
      <c r="O229" s="1118"/>
      <c r="P229" s="1118"/>
      <c r="Q229" s="1118"/>
      <c r="R229" s="1118"/>
      <c r="S229" s="1118"/>
      <c r="T229" s="1118"/>
      <c r="U229" s="1118"/>
      <c r="V229" s="1118"/>
      <c r="W229" s="1118"/>
      <c r="X229" s="1118"/>
      <c r="Y229" s="1118"/>
      <c r="Z229" s="1118"/>
      <c r="AA229" s="1118"/>
      <c r="AB229" s="1118"/>
      <c r="AC229" s="1118"/>
      <c r="AD229" s="1118"/>
      <c r="AE229" s="1118"/>
      <c r="AF229" s="1118"/>
      <c r="AG229" s="1118"/>
      <c r="AH229" s="1118"/>
      <c r="AI229" s="1118"/>
      <c r="AJ229" s="1118"/>
      <c r="AK229" s="1118"/>
      <c r="AL229" s="1118"/>
      <c r="AM229" s="1118"/>
      <c r="AN229" s="1118"/>
      <c r="AO229" s="1118"/>
      <c r="AP229" s="1102"/>
      <c r="AQ229" s="1102"/>
      <c r="AR229" s="1109"/>
      <c r="AS229" s="1109"/>
    </row>
    <row r="230" spans="1:45" ht="12.75" customHeight="1">
      <c r="A230" s="1055" t="s">
        <v>805</v>
      </c>
      <c r="B230" s="1060" t="s">
        <v>806</v>
      </c>
      <c r="C230" s="1056" t="s">
        <v>793</v>
      </c>
      <c r="D230" s="1118" t="e">
        <f t="shared" si="0"/>
        <v>#DIV/0!</v>
      </c>
      <c r="E230" s="1118"/>
      <c r="F230" s="1118"/>
      <c r="G230" s="1118"/>
      <c r="H230" s="1118"/>
      <c r="I230" s="1118"/>
      <c r="J230" s="1118"/>
      <c r="K230" s="1118"/>
      <c r="L230" s="1118"/>
      <c r="M230" s="1118"/>
      <c r="N230" s="1118"/>
      <c r="O230" s="1118"/>
      <c r="P230" s="1118"/>
      <c r="Q230" s="1118"/>
      <c r="R230" s="1118"/>
      <c r="S230" s="1118"/>
      <c r="T230" s="1118"/>
      <c r="U230" s="1118"/>
      <c r="V230" s="1118"/>
      <c r="W230" s="1118"/>
      <c r="X230" s="1118"/>
      <c r="Y230" s="1118"/>
      <c r="Z230" s="1118"/>
      <c r="AA230" s="1118"/>
      <c r="AB230" s="1118"/>
      <c r="AC230" s="1118"/>
      <c r="AD230" s="1118"/>
      <c r="AE230" s="1118"/>
      <c r="AF230" s="1118"/>
      <c r="AG230" s="1118"/>
      <c r="AH230" s="1118"/>
      <c r="AI230" s="1118"/>
      <c r="AJ230" s="1118"/>
      <c r="AK230" s="1118"/>
      <c r="AL230" s="1118"/>
      <c r="AM230" s="1118"/>
      <c r="AN230" s="1118"/>
      <c r="AO230" s="1118"/>
      <c r="AP230" s="1102"/>
      <c r="AQ230" s="1102"/>
      <c r="AR230" s="1109"/>
      <c r="AS230" s="1109"/>
    </row>
    <row r="231" spans="1:45" ht="12.75" customHeight="1">
      <c r="A231" s="1055" t="s">
        <v>807</v>
      </c>
      <c r="B231" s="1060" t="s">
        <v>252</v>
      </c>
      <c r="C231" s="1056" t="s">
        <v>793</v>
      </c>
      <c r="D231" s="1118" t="e">
        <f t="shared" si="0"/>
        <v>#DIV/0!</v>
      </c>
      <c r="E231" s="1118"/>
      <c r="F231" s="1118"/>
      <c r="G231" s="1118"/>
      <c r="H231" s="1118"/>
      <c r="I231" s="1118"/>
      <c r="J231" s="1118"/>
      <c r="K231" s="1118"/>
      <c r="L231" s="1118"/>
      <c r="M231" s="1118"/>
      <c r="N231" s="1118"/>
      <c r="O231" s="1118"/>
      <c r="P231" s="1118"/>
      <c r="Q231" s="1118"/>
      <c r="R231" s="1118"/>
      <c r="S231" s="1118"/>
      <c r="T231" s="1118"/>
      <c r="U231" s="1118"/>
      <c r="V231" s="1118"/>
      <c r="W231" s="1118"/>
      <c r="X231" s="1118"/>
      <c r="Y231" s="1118"/>
      <c r="Z231" s="1118"/>
      <c r="AA231" s="1118"/>
      <c r="AB231" s="1118"/>
      <c r="AC231" s="1118"/>
      <c r="AD231" s="1118"/>
      <c r="AE231" s="1118"/>
      <c r="AF231" s="1118"/>
      <c r="AG231" s="1118"/>
      <c r="AH231" s="1118"/>
      <c r="AI231" s="1118"/>
      <c r="AJ231" s="1118"/>
      <c r="AK231" s="1118"/>
      <c r="AL231" s="1118"/>
      <c r="AM231" s="1118"/>
      <c r="AN231" s="1118"/>
      <c r="AO231" s="1118"/>
      <c r="AP231" s="1102"/>
      <c r="AQ231" s="1102"/>
      <c r="AR231" s="1109"/>
      <c r="AS231" s="1109"/>
    </row>
    <row r="232" spans="1:45" ht="12.75" customHeight="1">
      <c r="A232" s="1055" t="s">
        <v>808</v>
      </c>
      <c r="B232" s="1060" t="s">
        <v>258</v>
      </c>
      <c r="C232" s="1056" t="s">
        <v>793</v>
      </c>
      <c r="D232" s="1118" t="e">
        <f t="shared" si="0"/>
        <v>#DIV/0!</v>
      </c>
      <c r="E232" s="1118"/>
      <c r="F232" s="1118"/>
      <c r="G232" s="1118"/>
      <c r="H232" s="1118"/>
      <c r="I232" s="1118"/>
      <c r="J232" s="1118"/>
      <c r="K232" s="1118"/>
      <c r="L232" s="1118"/>
      <c r="M232" s="1118"/>
      <c r="N232" s="1118"/>
      <c r="O232" s="1118"/>
      <c r="P232" s="1118"/>
      <c r="Q232" s="1118"/>
      <c r="R232" s="1118"/>
      <c r="S232" s="1118"/>
      <c r="T232" s="1118"/>
      <c r="U232" s="1118"/>
      <c r="V232" s="1118"/>
      <c r="W232" s="1118"/>
      <c r="X232" s="1118"/>
      <c r="Y232" s="1118"/>
      <c r="Z232" s="1118"/>
      <c r="AA232" s="1118"/>
      <c r="AB232" s="1118"/>
      <c r="AC232" s="1118"/>
      <c r="AD232" s="1118"/>
      <c r="AE232" s="1118"/>
      <c r="AF232" s="1118"/>
      <c r="AG232" s="1118"/>
      <c r="AH232" s="1118"/>
      <c r="AI232" s="1118"/>
      <c r="AJ232" s="1118"/>
      <c r="AK232" s="1118"/>
      <c r="AL232" s="1118"/>
      <c r="AM232" s="1118"/>
      <c r="AN232" s="1118"/>
      <c r="AO232" s="1118"/>
      <c r="AP232" s="1102"/>
      <c r="AQ232" s="1102"/>
      <c r="AR232" s="1109"/>
      <c r="AS232" s="1109"/>
    </row>
    <row r="233" spans="1:45" ht="12" customHeight="1">
      <c r="A233" s="1055" t="s">
        <v>809</v>
      </c>
      <c r="B233" s="1095" t="s">
        <v>810</v>
      </c>
      <c r="C233" s="1056" t="s">
        <v>793</v>
      </c>
      <c r="D233" s="1118" t="e">
        <f t="shared" si="0"/>
        <v>#DIV/0!</v>
      </c>
      <c r="E233" s="1118"/>
      <c r="F233" s="1118"/>
      <c r="G233" s="1118"/>
      <c r="H233" s="1118"/>
      <c r="I233" s="1118"/>
      <c r="J233" s="1118"/>
      <c r="K233" s="1118"/>
      <c r="L233" s="1118"/>
      <c r="M233" s="1118"/>
      <c r="N233" s="1118"/>
      <c r="O233" s="1118"/>
      <c r="P233" s="1118"/>
      <c r="Q233" s="1118"/>
      <c r="R233" s="1118"/>
      <c r="S233" s="1118"/>
      <c r="T233" s="1118"/>
      <c r="U233" s="1118"/>
      <c r="V233" s="1118"/>
      <c r="W233" s="1118"/>
      <c r="X233" s="1118"/>
      <c r="Y233" s="1118"/>
      <c r="Z233" s="1118"/>
      <c r="AA233" s="1118"/>
      <c r="AB233" s="1118"/>
      <c r="AC233" s="1118"/>
      <c r="AD233" s="1118"/>
      <c r="AE233" s="1118"/>
      <c r="AF233" s="1118"/>
      <c r="AG233" s="1118"/>
      <c r="AH233" s="1118"/>
      <c r="AI233" s="1118"/>
      <c r="AJ233" s="1118"/>
      <c r="AK233" s="1118"/>
      <c r="AL233" s="1118"/>
      <c r="AM233" s="1118"/>
      <c r="AN233" s="1118"/>
      <c r="AO233" s="1118"/>
      <c r="AP233" s="1102"/>
      <c r="AQ233" s="1102"/>
      <c r="AR233" s="1109"/>
      <c r="AS233" s="1109"/>
    </row>
    <row r="234" spans="1:45" ht="12.75" customHeight="1">
      <c r="A234" s="1055" t="s">
        <v>811</v>
      </c>
      <c r="B234" s="1095" t="s">
        <v>623</v>
      </c>
      <c r="C234" s="1056" t="s">
        <v>793</v>
      </c>
      <c r="D234" s="1118" t="e">
        <f t="shared" si="0"/>
        <v>#DIV/0!</v>
      </c>
      <c r="E234" s="1118"/>
      <c r="F234" s="1118"/>
      <c r="G234" s="1118"/>
      <c r="H234" s="1118"/>
      <c r="I234" s="1118"/>
      <c r="J234" s="1118"/>
      <c r="K234" s="1118"/>
      <c r="L234" s="1118"/>
      <c r="M234" s="1118"/>
      <c r="N234" s="1118"/>
      <c r="O234" s="1118"/>
      <c r="P234" s="1118"/>
      <c r="Q234" s="1118"/>
      <c r="R234" s="1118"/>
      <c r="S234" s="1118"/>
      <c r="T234" s="1118"/>
      <c r="U234" s="1118"/>
      <c r="V234" s="1118"/>
      <c r="W234" s="1118"/>
      <c r="X234" s="1118"/>
      <c r="Y234" s="1118"/>
      <c r="Z234" s="1118"/>
      <c r="AA234" s="1118"/>
      <c r="AB234" s="1118"/>
      <c r="AC234" s="1118"/>
      <c r="AD234" s="1118"/>
      <c r="AE234" s="1118"/>
      <c r="AF234" s="1118"/>
      <c r="AG234" s="1118"/>
      <c r="AH234" s="1118"/>
      <c r="AI234" s="1118"/>
      <c r="AJ234" s="1118"/>
      <c r="AK234" s="1118"/>
      <c r="AL234" s="1118"/>
      <c r="AM234" s="1118"/>
      <c r="AN234" s="1118"/>
      <c r="AO234" s="1118"/>
      <c r="AP234" s="1102"/>
      <c r="AQ234" s="1102"/>
      <c r="AR234" s="1109"/>
      <c r="AS234" s="1109"/>
    </row>
    <row r="235" spans="1:45" ht="12.75" customHeight="1">
      <c r="A235" s="1055" t="s">
        <v>812</v>
      </c>
      <c r="B235" s="1095" t="s">
        <v>624</v>
      </c>
      <c r="C235" s="1056" t="s">
        <v>793</v>
      </c>
      <c r="D235" s="1118" t="e">
        <f t="shared" si="0"/>
        <v>#DIV/0!</v>
      </c>
      <c r="E235" s="1118"/>
      <c r="F235" s="1118"/>
      <c r="G235" s="1118"/>
      <c r="H235" s="1118"/>
      <c r="I235" s="1118"/>
      <c r="J235" s="1118"/>
      <c r="K235" s="1118"/>
      <c r="L235" s="1118"/>
      <c r="M235" s="1118"/>
      <c r="N235" s="1118"/>
      <c r="O235" s="1118"/>
      <c r="P235" s="1118"/>
      <c r="Q235" s="1118"/>
      <c r="R235" s="1118"/>
      <c r="S235" s="1118"/>
      <c r="T235" s="1118"/>
      <c r="U235" s="1118"/>
      <c r="V235" s="1118"/>
      <c r="W235" s="1118"/>
      <c r="X235" s="1118"/>
      <c r="Y235" s="1118"/>
      <c r="Z235" s="1118"/>
      <c r="AA235" s="1118"/>
      <c r="AB235" s="1118"/>
      <c r="AC235" s="1118"/>
      <c r="AD235" s="1118"/>
      <c r="AE235" s="1118"/>
      <c r="AF235" s="1118"/>
      <c r="AG235" s="1118"/>
      <c r="AH235" s="1118"/>
      <c r="AI235" s="1118"/>
      <c r="AJ235" s="1118"/>
      <c r="AK235" s="1118"/>
      <c r="AL235" s="1118"/>
      <c r="AM235" s="1118"/>
      <c r="AN235" s="1118"/>
      <c r="AO235" s="1118"/>
      <c r="AP235" s="1102"/>
      <c r="AQ235" s="1102"/>
      <c r="AR235" s="1109"/>
      <c r="AS235" s="1109"/>
    </row>
    <row r="236" spans="1:45" ht="12.75" customHeight="1">
      <c r="A236" s="1055" t="s">
        <v>813</v>
      </c>
      <c r="B236" s="1060" t="s">
        <v>814</v>
      </c>
      <c r="C236" s="1056" t="s">
        <v>793</v>
      </c>
      <c r="D236" s="1118" t="e">
        <f t="shared" si="0"/>
        <v>#N/A</v>
      </c>
      <c r="E236" s="1118"/>
      <c r="F236" s="1118"/>
      <c r="G236" s="1118"/>
      <c r="H236" s="1118"/>
      <c r="I236" s="1118"/>
      <c r="J236" s="1118"/>
      <c r="K236" s="1118"/>
      <c r="L236" s="1118"/>
      <c r="M236" s="1118"/>
      <c r="N236" s="1118"/>
      <c r="O236" s="1118"/>
      <c r="P236" s="1118"/>
      <c r="Q236" s="1118"/>
      <c r="R236" s="1118"/>
      <c r="S236" s="1118"/>
      <c r="T236" s="1118"/>
      <c r="U236" s="1118"/>
      <c r="V236" s="1118"/>
      <c r="W236" s="1118"/>
      <c r="X236" s="1118"/>
      <c r="Y236" s="1118"/>
      <c r="Z236" s="1118"/>
      <c r="AA236" s="1118"/>
      <c r="AB236" s="1118"/>
      <c r="AC236" s="1118"/>
      <c r="AD236" s="1118"/>
      <c r="AE236" s="1118"/>
      <c r="AF236" s="1118"/>
      <c r="AG236" s="1118"/>
      <c r="AH236" s="1118"/>
      <c r="AI236" s="1118"/>
      <c r="AJ236" s="1118"/>
      <c r="AK236" s="1118"/>
      <c r="AL236" s="1118"/>
      <c r="AM236" s="1118"/>
      <c r="AN236" s="1118"/>
      <c r="AO236" s="1118"/>
      <c r="AP236" s="1102"/>
      <c r="AQ236" s="1102"/>
      <c r="AR236" s="1109"/>
      <c r="AS236" s="1109"/>
    </row>
    <row r="237" spans="1:45" ht="12.75" customHeight="1">
      <c r="A237" s="1055" t="s">
        <v>815</v>
      </c>
      <c r="B237" s="1060" t="s">
        <v>337</v>
      </c>
      <c r="C237" s="1056" t="s">
        <v>793</v>
      </c>
      <c r="D237" s="1118" t="e">
        <f t="shared" si="0"/>
        <v>#N/A</v>
      </c>
      <c r="E237" s="1118"/>
      <c r="F237" s="1118"/>
      <c r="G237" s="1118"/>
      <c r="H237" s="1118"/>
      <c r="I237" s="1118"/>
      <c r="J237" s="1118"/>
      <c r="K237" s="1118"/>
      <c r="L237" s="1118"/>
      <c r="M237" s="1118"/>
      <c r="N237" s="1118"/>
      <c r="O237" s="1118"/>
      <c r="P237" s="1118"/>
      <c r="Q237" s="1118"/>
      <c r="R237" s="1118"/>
      <c r="S237" s="1118"/>
      <c r="T237" s="1118"/>
      <c r="U237" s="1118"/>
      <c r="V237" s="1118"/>
      <c r="W237" s="1118"/>
      <c r="X237" s="1118"/>
      <c r="Y237" s="1118"/>
      <c r="Z237" s="1118"/>
      <c r="AA237" s="1118"/>
      <c r="AB237" s="1118"/>
      <c r="AC237" s="1118"/>
      <c r="AD237" s="1118"/>
      <c r="AE237" s="1118"/>
      <c r="AF237" s="1118"/>
      <c r="AG237" s="1118"/>
      <c r="AH237" s="1118"/>
      <c r="AI237" s="1118"/>
      <c r="AJ237" s="1118"/>
      <c r="AK237" s="1118"/>
      <c r="AL237" s="1118"/>
      <c r="AM237" s="1118"/>
      <c r="AN237" s="1118"/>
      <c r="AO237" s="1118"/>
      <c r="AP237" s="1102"/>
      <c r="AQ237" s="1102"/>
      <c r="AR237" s="1109"/>
      <c r="AS237" s="1109"/>
    </row>
    <row r="238" spans="1:45" ht="12.75" customHeight="1">
      <c r="A238" s="1055" t="s">
        <v>816</v>
      </c>
      <c r="B238" s="1060" t="s">
        <v>273</v>
      </c>
      <c r="C238" s="1056" t="s">
        <v>793</v>
      </c>
      <c r="D238" s="1118" t="e">
        <f t="shared" si="0"/>
        <v>#N/A</v>
      </c>
      <c r="E238" s="1118"/>
      <c r="F238" s="1118"/>
      <c r="G238" s="1118"/>
      <c r="H238" s="1118"/>
      <c r="I238" s="1118"/>
      <c r="J238" s="1118"/>
      <c r="K238" s="1118"/>
      <c r="L238" s="1118"/>
      <c r="M238" s="1118"/>
      <c r="N238" s="1118"/>
      <c r="O238" s="1118"/>
      <c r="P238" s="1118"/>
      <c r="Q238" s="1118"/>
      <c r="R238" s="1118"/>
      <c r="S238" s="1118"/>
      <c r="T238" s="1118"/>
      <c r="U238" s="1118"/>
      <c r="V238" s="1118"/>
      <c r="W238" s="1118"/>
      <c r="X238" s="1118"/>
      <c r="Y238" s="1118"/>
      <c r="Z238" s="1118"/>
      <c r="AA238" s="1118"/>
      <c r="AB238" s="1118"/>
      <c r="AC238" s="1118"/>
      <c r="AD238" s="1118"/>
      <c r="AE238" s="1118"/>
      <c r="AF238" s="1118"/>
      <c r="AG238" s="1118"/>
      <c r="AH238" s="1118"/>
      <c r="AI238" s="1118"/>
      <c r="AJ238" s="1118"/>
      <c r="AK238" s="1118"/>
      <c r="AL238" s="1118"/>
      <c r="AM238" s="1118"/>
      <c r="AN238" s="1118"/>
      <c r="AO238" s="1118"/>
      <c r="AP238" s="1102"/>
      <c r="AQ238" s="1102"/>
      <c r="AR238" s="1109"/>
      <c r="AS238" s="1109"/>
    </row>
    <row r="239" spans="1:45" ht="12.75" customHeight="1">
      <c r="A239" s="1055" t="s">
        <v>817</v>
      </c>
      <c r="B239" s="1060" t="s">
        <v>276</v>
      </c>
      <c r="C239" s="1056" t="s">
        <v>793</v>
      </c>
      <c r="D239" s="1118" t="e">
        <f t="shared" si="0"/>
        <v>#N/A</v>
      </c>
      <c r="E239" s="1118"/>
      <c r="F239" s="1118"/>
      <c r="G239" s="1118"/>
      <c r="H239" s="1118"/>
      <c r="I239" s="1118"/>
      <c r="J239" s="1118"/>
      <c r="K239" s="1118"/>
      <c r="L239" s="1118"/>
      <c r="M239" s="1118"/>
      <c r="N239" s="1118"/>
      <c r="O239" s="1118"/>
      <c r="P239" s="1118"/>
      <c r="Q239" s="1118"/>
      <c r="R239" s="1118"/>
      <c r="S239" s="1118"/>
      <c r="T239" s="1118"/>
      <c r="U239" s="1118"/>
      <c r="V239" s="1118"/>
      <c r="W239" s="1118"/>
      <c r="X239" s="1118"/>
      <c r="Y239" s="1118"/>
      <c r="Z239" s="1118"/>
      <c r="AA239" s="1118"/>
      <c r="AB239" s="1118"/>
      <c r="AC239" s="1118"/>
      <c r="AD239" s="1118"/>
      <c r="AE239" s="1118"/>
      <c r="AF239" s="1118"/>
      <c r="AG239" s="1118"/>
      <c r="AH239" s="1118"/>
      <c r="AI239" s="1118"/>
      <c r="AJ239" s="1118"/>
      <c r="AK239" s="1118"/>
      <c r="AL239" s="1118"/>
      <c r="AM239" s="1118"/>
      <c r="AN239" s="1118"/>
      <c r="AO239" s="1118"/>
      <c r="AP239" s="1102"/>
      <c r="AQ239" s="1102"/>
      <c r="AR239" s="1109"/>
      <c r="AS239" s="1109"/>
    </row>
    <row r="240" spans="1:45" ht="12.75" customHeight="1">
      <c r="A240" s="1055" t="s">
        <v>818</v>
      </c>
      <c r="B240" s="1060" t="s">
        <v>629</v>
      </c>
      <c r="C240" s="1056" t="s">
        <v>793</v>
      </c>
      <c r="D240" s="1118" t="e">
        <f t="shared" si="0"/>
        <v>#N/A</v>
      </c>
      <c r="E240" s="1118"/>
      <c r="F240" s="1118"/>
      <c r="G240" s="1118"/>
      <c r="H240" s="1118"/>
      <c r="I240" s="1118"/>
      <c r="J240" s="1118"/>
      <c r="K240" s="1118"/>
      <c r="L240" s="1118"/>
      <c r="M240" s="1118"/>
      <c r="N240" s="1118"/>
      <c r="O240" s="1118"/>
      <c r="P240" s="1118"/>
      <c r="Q240" s="1118"/>
      <c r="R240" s="1118"/>
      <c r="S240" s="1118"/>
      <c r="T240" s="1118"/>
      <c r="U240" s="1118"/>
      <c r="V240" s="1118"/>
      <c r="W240" s="1118"/>
      <c r="X240" s="1118"/>
      <c r="Y240" s="1118"/>
      <c r="Z240" s="1118"/>
      <c r="AA240" s="1118"/>
      <c r="AB240" s="1118"/>
      <c r="AC240" s="1118"/>
      <c r="AD240" s="1118"/>
      <c r="AE240" s="1118"/>
      <c r="AF240" s="1118"/>
      <c r="AG240" s="1118"/>
      <c r="AH240" s="1118"/>
      <c r="AI240" s="1118"/>
      <c r="AJ240" s="1118"/>
      <c r="AK240" s="1118"/>
      <c r="AL240" s="1118"/>
      <c r="AM240" s="1118"/>
      <c r="AN240" s="1118"/>
      <c r="AO240" s="1118"/>
      <c r="AP240" s="1102"/>
      <c r="AQ240" s="1102"/>
      <c r="AR240" s="1109"/>
      <c r="AS240" s="1109"/>
    </row>
    <row r="241" spans="1:45" ht="12.75" customHeight="1">
      <c r="A241" s="1055" t="s">
        <v>819</v>
      </c>
      <c r="B241" s="1060" t="s">
        <v>820</v>
      </c>
      <c r="C241" s="1056" t="s">
        <v>793</v>
      </c>
      <c r="D241" s="1118" t="e">
        <f t="shared" si="0"/>
        <v>#N/A</v>
      </c>
      <c r="E241" s="1118"/>
      <c r="F241" s="1118"/>
      <c r="G241" s="1118"/>
      <c r="H241" s="1118"/>
      <c r="I241" s="1118"/>
      <c r="J241" s="1118"/>
      <c r="K241" s="1118"/>
      <c r="L241" s="1118"/>
      <c r="M241" s="1118"/>
      <c r="N241" s="1118"/>
      <c r="O241" s="1118"/>
      <c r="P241" s="1118"/>
      <c r="Q241" s="1118"/>
      <c r="R241" s="1118"/>
      <c r="S241" s="1118"/>
      <c r="T241" s="1118"/>
      <c r="U241" s="1118"/>
      <c r="V241" s="1118"/>
      <c r="W241" s="1118"/>
      <c r="X241" s="1118"/>
      <c r="Y241" s="1118"/>
      <c r="Z241" s="1118"/>
      <c r="AA241" s="1118"/>
      <c r="AB241" s="1118"/>
      <c r="AC241" s="1118"/>
      <c r="AD241" s="1118"/>
      <c r="AE241" s="1118"/>
      <c r="AF241" s="1118"/>
      <c r="AG241" s="1118"/>
      <c r="AH241" s="1118"/>
      <c r="AI241" s="1118"/>
      <c r="AJ241" s="1118"/>
      <c r="AK241" s="1118"/>
      <c r="AL241" s="1118"/>
      <c r="AM241" s="1118"/>
      <c r="AN241" s="1118"/>
      <c r="AO241" s="1118"/>
      <c r="AP241" s="1102"/>
      <c r="AQ241" s="1102"/>
      <c r="AR241" s="1109"/>
      <c r="AS241" s="1109"/>
    </row>
    <row r="242" spans="1:45" ht="12.75" customHeight="1">
      <c r="A242" s="1055" t="s">
        <v>821</v>
      </c>
      <c r="B242" s="1060" t="s">
        <v>281</v>
      </c>
      <c r="C242" s="1056" t="s">
        <v>793</v>
      </c>
      <c r="D242" s="1118" t="e">
        <f t="shared" si="0"/>
        <v>#N/A</v>
      </c>
      <c r="E242" s="1118"/>
      <c r="F242" s="1118"/>
      <c r="G242" s="1118"/>
      <c r="H242" s="1118"/>
      <c r="I242" s="1118"/>
      <c r="J242" s="1118"/>
      <c r="K242" s="1118"/>
      <c r="L242" s="1118"/>
      <c r="M242" s="1118"/>
      <c r="N242" s="1118"/>
      <c r="O242" s="1118"/>
      <c r="P242" s="1118"/>
      <c r="Q242" s="1118"/>
      <c r="R242" s="1118"/>
      <c r="S242" s="1118"/>
      <c r="T242" s="1118"/>
      <c r="U242" s="1118"/>
      <c r="V242" s="1118"/>
      <c r="W242" s="1118"/>
      <c r="X242" s="1118"/>
      <c r="Y242" s="1118"/>
      <c r="Z242" s="1118"/>
      <c r="AA242" s="1118"/>
      <c r="AB242" s="1118"/>
      <c r="AC242" s="1118"/>
      <c r="AD242" s="1118"/>
      <c r="AE242" s="1118"/>
      <c r="AF242" s="1118"/>
      <c r="AG242" s="1118"/>
      <c r="AH242" s="1118"/>
      <c r="AI242" s="1118"/>
      <c r="AJ242" s="1118"/>
      <c r="AK242" s="1118"/>
      <c r="AL242" s="1118"/>
      <c r="AM242" s="1118"/>
      <c r="AN242" s="1118"/>
      <c r="AO242" s="1118"/>
      <c r="AP242" s="1102"/>
      <c r="AQ242" s="1102"/>
      <c r="AR242" s="1109"/>
      <c r="AS242" s="1109"/>
    </row>
    <row r="243" spans="1:45" ht="12.75" customHeight="1">
      <c r="A243" s="1055" t="s">
        <v>822</v>
      </c>
      <c r="B243" s="1060" t="s">
        <v>284</v>
      </c>
      <c r="C243" s="1056" t="s">
        <v>793</v>
      </c>
      <c r="D243" s="1118" t="e">
        <f t="shared" si="0"/>
        <v>#N/A</v>
      </c>
      <c r="E243" s="1118"/>
      <c r="F243" s="1118"/>
      <c r="G243" s="1118"/>
      <c r="H243" s="1118"/>
      <c r="I243" s="1118"/>
      <c r="J243" s="1118"/>
      <c r="K243" s="1118"/>
      <c r="L243" s="1118"/>
      <c r="M243" s="1118"/>
      <c r="N243" s="1118"/>
      <c r="O243" s="1118"/>
      <c r="P243" s="1118"/>
      <c r="Q243" s="1118"/>
      <c r="R243" s="1118"/>
      <c r="S243" s="1118"/>
      <c r="T243" s="1118"/>
      <c r="U243" s="1118"/>
      <c r="V243" s="1118"/>
      <c r="W243" s="1118"/>
      <c r="X243" s="1118"/>
      <c r="Y243" s="1118"/>
      <c r="Z243" s="1118"/>
      <c r="AA243" s="1118"/>
      <c r="AB243" s="1118"/>
      <c r="AC243" s="1118"/>
      <c r="AD243" s="1118"/>
      <c r="AE243" s="1118"/>
      <c r="AF243" s="1118"/>
      <c r="AG243" s="1118"/>
      <c r="AH243" s="1118"/>
      <c r="AI243" s="1118"/>
      <c r="AJ243" s="1118"/>
      <c r="AK243" s="1118"/>
      <c r="AL243" s="1118"/>
      <c r="AM243" s="1118"/>
      <c r="AN243" s="1118"/>
      <c r="AO243" s="1118"/>
      <c r="AP243" s="1102"/>
      <c r="AQ243" s="1102"/>
      <c r="AR243" s="1109"/>
      <c r="AS243" s="1109"/>
    </row>
    <row r="244" spans="1:45" ht="12.75" customHeight="1">
      <c r="A244" s="1055" t="s">
        <v>823</v>
      </c>
      <c r="B244" s="1060" t="s">
        <v>288</v>
      </c>
      <c r="C244" s="1056" t="s">
        <v>793</v>
      </c>
      <c r="D244" s="1118" t="e">
        <f t="shared" si="0"/>
        <v>#N/A</v>
      </c>
      <c r="E244" s="1118"/>
      <c r="F244" s="1118"/>
      <c r="G244" s="1118"/>
      <c r="H244" s="1118"/>
      <c r="I244" s="1118"/>
      <c r="J244" s="1118"/>
      <c r="K244" s="1118"/>
      <c r="L244" s="1118"/>
      <c r="M244" s="1118"/>
      <c r="N244" s="1118"/>
      <c r="O244" s="1118"/>
      <c r="P244" s="1118"/>
      <c r="Q244" s="1118"/>
      <c r="R244" s="1118"/>
      <c r="S244" s="1118"/>
      <c r="T244" s="1118"/>
      <c r="U244" s="1118"/>
      <c r="V244" s="1118"/>
      <c r="W244" s="1118"/>
      <c r="X244" s="1118"/>
      <c r="Y244" s="1118"/>
      <c r="Z244" s="1118"/>
      <c r="AA244" s="1118"/>
      <c r="AB244" s="1118"/>
      <c r="AC244" s="1118"/>
      <c r="AD244" s="1118"/>
      <c r="AE244" s="1118"/>
      <c r="AF244" s="1118"/>
      <c r="AG244" s="1118"/>
      <c r="AH244" s="1118"/>
      <c r="AI244" s="1118"/>
      <c r="AJ244" s="1118"/>
      <c r="AK244" s="1118"/>
      <c r="AL244" s="1118"/>
      <c r="AM244" s="1118"/>
      <c r="AN244" s="1118"/>
      <c r="AO244" s="1118"/>
      <c r="AP244" s="1102"/>
      <c r="AQ244" s="1102"/>
      <c r="AR244" s="1109"/>
      <c r="AS244" s="1109"/>
    </row>
    <row r="245" spans="1:45" ht="12.75" customHeight="1">
      <c r="A245" s="1055" t="s">
        <v>824</v>
      </c>
      <c r="B245" s="1060" t="s">
        <v>825</v>
      </c>
      <c r="C245" s="1056" t="s">
        <v>793</v>
      </c>
      <c r="D245" s="1118" t="e">
        <f t="shared" si="0"/>
        <v>#N/A</v>
      </c>
      <c r="E245" s="1118"/>
      <c r="F245" s="1118"/>
      <c r="G245" s="1118"/>
      <c r="H245" s="1118"/>
      <c r="I245" s="1118"/>
      <c r="J245" s="1118"/>
      <c r="K245" s="1118"/>
      <c r="L245" s="1118"/>
      <c r="M245" s="1118"/>
      <c r="N245" s="1118"/>
      <c r="O245" s="1118"/>
      <c r="P245" s="1118"/>
      <c r="Q245" s="1118"/>
      <c r="R245" s="1118"/>
      <c r="S245" s="1118"/>
      <c r="T245" s="1118"/>
      <c r="U245" s="1118"/>
      <c r="V245" s="1118"/>
      <c r="W245" s="1118"/>
      <c r="X245" s="1118"/>
      <c r="Y245" s="1118"/>
      <c r="Z245" s="1118"/>
      <c r="AA245" s="1118"/>
      <c r="AB245" s="1118"/>
      <c r="AC245" s="1118"/>
      <c r="AD245" s="1118"/>
      <c r="AE245" s="1118"/>
      <c r="AF245" s="1118"/>
      <c r="AG245" s="1118"/>
      <c r="AH245" s="1118"/>
      <c r="AI245" s="1118"/>
      <c r="AJ245" s="1118"/>
      <c r="AK245" s="1118"/>
      <c r="AL245" s="1118"/>
      <c r="AM245" s="1118"/>
      <c r="AN245" s="1118"/>
      <c r="AO245" s="1118"/>
      <c r="AP245" s="1102"/>
      <c r="AQ245" s="1102"/>
      <c r="AR245" s="1109"/>
      <c r="AS245" s="1109"/>
    </row>
    <row r="246" spans="1:45" ht="12.75" customHeight="1">
      <c r="A246" s="1055" t="s">
        <v>826</v>
      </c>
      <c r="B246" s="1060" t="s">
        <v>292</v>
      </c>
      <c r="C246" s="1056" t="s">
        <v>793</v>
      </c>
      <c r="D246" s="1118" t="e">
        <f t="shared" si="0"/>
        <v>#N/A</v>
      </c>
      <c r="E246" s="1118"/>
      <c r="F246" s="1118"/>
      <c r="G246" s="1118"/>
      <c r="H246" s="1118"/>
      <c r="I246" s="1118"/>
      <c r="J246" s="1118"/>
      <c r="K246" s="1118"/>
      <c r="L246" s="1118"/>
      <c r="M246" s="1118"/>
      <c r="N246" s="1118"/>
      <c r="O246" s="1118"/>
      <c r="P246" s="1118"/>
      <c r="Q246" s="1118"/>
      <c r="R246" s="1118"/>
      <c r="S246" s="1118"/>
      <c r="T246" s="1118"/>
      <c r="U246" s="1118"/>
      <c r="V246" s="1118"/>
      <c r="W246" s="1118"/>
      <c r="X246" s="1118"/>
      <c r="Y246" s="1118"/>
      <c r="Z246" s="1118"/>
      <c r="AA246" s="1118"/>
      <c r="AB246" s="1118"/>
      <c r="AC246" s="1118"/>
      <c r="AD246" s="1118"/>
      <c r="AE246" s="1118"/>
      <c r="AF246" s="1118"/>
      <c r="AG246" s="1118"/>
      <c r="AH246" s="1118"/>
      <c r="AI246" s="1118"/>
      <c r="AJ246" s="1118"/>
      <c r="AK246" s="1118"/>
      <c r="AL246" s="1118"/>
      <c r="AM246" s="1118"/>
      <c r="AN246" s="1118"/>
      <c r="AO246" s="1118"/>
      <c r="AP246" s="1102"/>
      <c r="AQ246" s="1102"/>
      <c r="AR246" s="1109"/>
      <c r="AS246" s="1109"/>
    </row>
    <row r="247" spans="1:45" ht="12.75" customHeight="1">
      <c r="A247" s="1055" t="s">
        <v>827</v>
      </c>
      <c r="B247" s="1060" t="s">
        <v>439</v>
      </c>
      <c r="C247" s="1056" t="s">
        <v>793</v>
      </c>
      <c r="D247" s="1118" t="e">
        <f t="shared" si="0"/>
        <v>#DIV/0!</v>
      </c>
      <c r="E247" s="1118"/>
      <c r="F247" s="1118"/>
      <c r="G247" s="1118"/>
      <c r="H247" s="1118"/>
      <c r="I247" s="1118"/>
      <c r="J247" s="1118"/>
      <c r="K247" s="1118"/>
      <c r="L247" s="1118"/>
      <c r="M247" s="1118"/>
      <c r="N247" s="1118"/>
      <c r="O247" s="1118"/>
      <c r="P247" s="1118"/>
      <c r="Q247" s="1118"/>
      <c r="R247" s="1118"/>
      <c r="S247" s="1118"/>
      <c r="T247" s="1118"/>
      <c r="U247" s="1118"/>
      <c r="V247" s="1118"/>
      <c r="W247" s="1118"/>
      <c r="X247" s="1118"/>
      <c r="Y247" s="1118"/>
      <c r="Z247" s="1118"/>
      <c r="AA247" s="1118"/>
      <c r="AB247" s="1118"/>
      <c r="AC247" s="1118"/>
      <c r="AD247" s="1118"/>
      <c r="AE247" s="1118"/>
      <c r="AF247" s="1118"/>
      <c r="AG247" s="1118"/>
      <c r="AH247" s="1118"/>
      <c r="AI247" s="1118"/>
      <c r="AJ247" s="1118"/>
      <c r="AK247" s="1118"/>
      <c r="AL247" s="1118"/>
      <c r="AM247" s="1118"/>
      <c r="AN247" s="1118"/>
      <c r="AO247" s="1118"/>
      <c r="AP247" s="1102"/>
      <c r="AQ247" s="1102"/>
      <c r="AR247" s="1109"/>
      <c r="AS247" s="1109"/>
    </row>
    <row r="248" spans="1:45" ht="12.75" customHeight="1">
      <c r="A248" s="1055" t="s">
        <v>828</v>
      </c>
      <c r="B248" s="1060" t="s">
        <v>300</v>
      </c>
      <c r="C248" s="1056" t="s">
        <v>793</v>
      </c>
      <c r="D248" s="1118" t="e">
        <f t="shared" si="0"/>
        <v>#N/A</v>
      </c>
      <c r="E248" s="1118"/>
      <c r="F248" s="1118"/>
      <c r="G248" s="1118"/>
      <c r="H248" s="1118"/>
      <c r="I248" s="1118"/>
      <c r="J248" s="1118"/>
      <c r="K248" s="1118"/>
      <c r="L248" s="1118"/>
      <c r="M248" s="1118"/>
      <c r="N248" s="1118"/>
      <c r="O248" s="1118"/>
      <c r="P248" s="1118"/>
      <c r="Q248" s="1118"/>
      <c r="R248" s="1118"/>
      <c r="S248" s="1118"/>
      <c r="T248" s="1118"/>
      <c r="U248" s="1118"/>
      <c r="V248" s="1118"/>
      <c r="W248" s="1118"/>
      <c r="X248" s="1118"/>
      <c r="Y248" s="1118"/>
      <c r="Z248" s="1118"/>
      <c r="AA248" s="1118"/>
      <c r="AB248" s="1118"/>
      <c r="AC248" s="1118"/>
      <c r="AD248" s="1118"/>
      <c r="AE248" s="1118"/>
      <c r="AF248" s="1118"/>
      <c r="AG248" s="1118"/>
      <c r="AH248" s="1118"/>
      <c r="AI248" s="1118"/>
      <c r="AJ248" s="1118"/>
      <c r="AK248" s="1118"/>
      <c r="AL248" s="1118"/>
      <c r="AM248" s="1118"/>
      <c r="AN248" s="1118"/>
      <c r="AO248" s="1118"/>
      <c r="AP248" s="1102"/>
      <c r="AQ248" s="1102"/>
      <c r="AR248" s="1109"/>
      <c r="AS248" s="1109"/>
    </row>
    <row r="249" spans="1:45" ht="12.75" customHeight="1">
      <c r="A249" s="1055" t="s">
        <v>829</v>
      </c>
      <c r="B249" s="1060" t="s">
        <v>304</v>
      </c>
      <c r="C249" s="1056" t="s">
        <v>793</v>
      </c>
      <c r="D249" s="1118" t="e">
        <f t="shared" si="0"/>
        <v>#N/A</v>
      </c>
      <c r="E249" s="1118"/>
      <c r="F249" s="1118"/>
      <c r="G249" s="1118"/>
      <c r="H249" s="1118"/>
      <c r="I249" s="1118"/>
      <c r="J249" s="1118"/>
      <c r="K249" s="1118"/>
      <c r="L249" s="1118"/>
      <c r="M249" s="1118"/>
      <c r="N249" s="1118"/>
      <c r="O249" s="1118"/>
      <c r="P249" s="1118"/>
      <c r="Q249" s="1118"/>
      <c r="R249" s="1118"/>
      <c r="S249" s="1118"/>
      <c r="T249" s="1118"/>
      <c r="U249" s="1118"/>
      <c r="V249" s="1118"/>
      <c r="W249" s="1118"/>
      <c r="X249" s="1118"/>
      <c r="Y249" s="1118"/>
      <c r="Z249" s="1118"/>
      <c r="AA249" s="1118"/>
      <c r="AB249" s="1118"/>
      <c r="AC249" s="1118"/>
      <c r="AD249" s="1118"/>
      <c r="AE249" s="1118"/>
      <c r="AF249" s="1118"/>
      <c r="AG249" s="1118"/>
      <c r="AH249" s="1118"/>
      <c r="AI249" s="1118"/>
      <c r="AJ249" s="1118"/>
      <c r="AK249" s="1118"/>
      <c r="AL249" s="1118"/>
      <c r="AM249" s="1118"/>
      <c r="AN249" s="1118"/>
      <c r="AO249" s="1118"/>
      <c r="AP249" s="1102"/>
      <c r="AQ249" s="1102"/>
      <c r="AR249" s="1109"/>
      <c r="AS249" s="1109"/>
    </row>
    <row r="250" spans="1:256" s="1083" customFormat="1" ht="12.75" customHeight="1">
      <c r="A250" s="1055" t="s">
        <v>830</v>
      </c>
      <c r="B250" s="1060" t="s">
        <v>831</v>
      </c>
      <c r="C250" s="1056" t="s">
        <v>793</v>
      </c>
      <c r="D250" s="1118" t="e">
        <f t="shared" si="0"/>
        <v>#N/A</v>
      </c>
      <c r="E250" s="1118"/>
      <c r="F250" s="1118"/>
      <c r="G250" s="1118"/>
      <c r="H250" s="1118"/>
      <c r="I250" s="1118"/>
      <c r="J250" s="1118"/>
      <c r="K250" s="1118"/>
      <c r="L250" s="1118"/>
      <c r="M250" s="1118"/>
      <c r="N250" s="1118"/>
      <c r="O250" s="1118"/>
      <c r="P250" s="1118"/>
      <c r="Q250" s="1118"/>
      <c r="R250" s="1118"/>
      <c r="S250" s="1118"/>
      <c r="T250" s="1118"/>
      <c r="U250" s="1118"/>
      <c r="V250" s="1118"/>
      <c r="W250" s="1118"/>
      <c r="X250" s="1118"/>
      <c r="Y250" s="1118"/>
      <c r="Z250" s="1118"/>
      <c r="AA250" s="1118"/>
      <c r="AB250" s="1118"/>
      <c r="AC250" s="1118"/>
      <c r="AD250" s="1118"/>
      <c r="AE250" s="1118"/>
      <c r="AF250" s="1118"/>
      <c r="AG250" s="1118"/>
      <c r="AH250" s="1118"/>
      <c r="AI250" s="1118"/>
      <c r="AJ250" s="1118"/>
      <c r="AK250" s="1118"/>
      <c r="AL250" s="1118"/>
      <c r="AM250" s="1118"/>
      <c r="AN250" s="1118"/>
      <c r="AO250" s="1118"/>
      <c r="AR250" s="1112"/>
      <c r="AS250" s="1112"/>
      <c r="IN250" s="1023"/>
      <c r="IO250" s="1023"/>
      <c r="IP250" s="1023"/>
      <c r="IQ250" s="1023"/>
      <c r="IR250" s="1023"/>
      <c r="IS250" s="1023"/>
      <c r="IT250" s="1023"/>
      <c r="IU250" s="1023"/>
      <c r="IV250" s="1023"/>
    </row>
    <row r="251" spans="1:45" ht="12.75" customHeight="1">
      <c r="A251" s="1055" t="s">
        <v>832</v>
      </c>
      <c r="B251" s="1060" t="s">
        <v>833</v>
      </c>
      <c r="C251" s="1056" t="s">
        <v>793</v>
      </c>
      <c r="D251" s="1118" t="e">
        <f t="shared" si="0"/>
        <v>#N/A</v>
      </c>
      <c r="E251" s="1118"/>
      <c r="F251" s="1118"/>
      <c r="G251" s="1118"/>
      <c r="H251" s="1118"/>
      <c r="I251" s="1118"/>
      <c r="J251" s="1118"/>
      <c r="K251" s="1118"/>
      <c r="L251" s="1118"/>
      <c r="M251" s="1118"/>
      <c r="N251" s="1118"/>
      <c r="O251" s="1118"/>
      <c r="P251" s="1118"/>
      <c r="Q251" s="1118"/>
      <c r="R251" s="1118"/>
      <c r="S251" s="1118"/>
      <c r="T251" s="1118"/>
      <c r="U251" s="1118"/>
      <c r="V251" s="1118"/>
      <c r="W251" s="1118"/>
      <c r="X251" s="1118"/>
      <c r="Y251" s="1118"/>
      <c r="Z251" s="1118"/>
      <c r="AA251" s="1118"/>
      <c r="AB251" s="1118"/>
      <c r="AC251" s="1118"/>
      <c r="AD251" s="1118"/>
      <c r="AE251" s="1118"/>
      <c r="AF251" s="1118"/>
      <c r="AG251" s="1118"/>
      <c r="AH251" s="1118"/>
      <c r="AI251" s="1118"/>
      <c r="AJ251" s="1118"/>
      <c r="AK251" s="1118"/>
      <c r="AL251" s="1118"/>
      <c r="AM251" s="1118"/>
      <c r="AN251" s="1118"/>
      <c r="AO251" s="1118"/>
      <c r="AP251" s="1102"/>
      <c r="AQ251" s="1102"/>
      <c r="AR251" s="1109"/>
      <c r="AS251" s="1109"/>
    </row>
    <row r="252" spans="1:45" ht="12.75" customHeight="1">
      <c r="A252" s="1055" t="s">
        <v>834</v>
      </c>
      <c r="B252" s="1060" t="s">
        <v>835</v>
      </c>
      <c r="C252" s="1056" t="s">
        <v>793</v>
      </c>
      <c r="D252" s="1118" t="e">
        <f t="shared" si="0"/>
        <v>#N/A</v>
      </c>
      <c r="E252" s="1118"/>
      <c r="F252" s="1118"/>
      <c r="G252" s="1118"/>
      <c r="H252" s="1118"/>
      <c r="I252" s="1118"/>
      <c r="J252" s="1118"/>
      <c r="K252" s="1118"/>
      <c r="L252" s="1118"/>
      <c r="M252" s="1118"/>
      <c r="N252" s="1118"/>
      <c r="O252" s="1118"/>
      <c r="P252" s="1118"/>
      <c r="Q252" s="1118"/>
      <c r="R252" s="1118"/>
      <c r="S252" s="1118"/>
      <c r="T252" s="1118"/>
      <c r="U252" s="1118"/>
      <c r="V252" s="1118"/>
      <c r="W252" s="1118"/>
      <c r="X252" s="1118"/>
      <c r="Y252" s="1118"/>
      <c r="Z252" s="1118"/>
      <c r="AA252" s="1118"/>
      <c r="AB252" s="1118"/>
      <c r="AC252" s="1118"/>
      <c r="AD252" s="1118"/>
      <c r="AE252" s="1118"/>
      <c r="AF252" s="1118"/>
      <c r="AG252" s="1118"/>
      <c r="AH252" s="1118"/>
      <c r="AI252" s="1118"/>
      <c r="AJ252" s="1118"/>
      <c r="AK252" s="1118"/>
      <c r="AL252" s="1118"/>
      <c r="AM252" s="1118"/>
      <c r="AN252" s="1118"/>
      <c r="AO252" s="1118"/>
      <c r="AP252" s="1100"/>
      <c r="AQ252" s="1100"/>
      <c r="AR252" s="1109"/>
      <c r="AS252" s="1109"/>
    </row>
    <row r="253" spans="1:45" ht="12.75" customHeight="1">
      <c r="A253" s="1055" t="s">
        <v>836</v>
      </c>
      <c r="B253" s="1060" t="s">
        <v>837</v>
      </c>
      <c r="C253" s="1056" t="s">
        <v>793</v>
      </c>
      <c r="D253" s="1118" t="e">
        <f t="shared" si="0"/>
        <v>#DIV/0!</v>
      </c>
      <c r="E253" s="1118"/>
      <c r="F253" s="1118"/>
      <c r="G253" s="1118"/>
      <c r="H253" s="1118"/>
      <c r="I253" s="1118"/>
      <c r="J253" s="1118"/>
      <c r="K253" s="1118"/>
      <c r="L253" s="1118"/>
      <c r="M253" s="1118"/>
      <c r="N253" s="1118"/>
      <c r="O253" s="1118"/>
      <c r="P253" s="1118"/>
      <c r="Q253" s="1118"/>
      <c r="R253" s="1118"/>
      <c r="S253" s="1118"/>
      <c r="T253" s="1118"/>
      <c r="U253" s="1118"/>
      <c r="V253" s="1118"/>
      <c r="W253" s="1118"/>
      <c r="X253" s="1118"/>
      <c r="Y253" s="1118"/>
      <c r="Z253" s="1118"/>
      <c r="AA253" s="1118"/>
      <c r="AB253" s="1118"/>
      <c r="AC253" s="1118"/>
      <c r="AD253" s="1118"/>
      <c r="AE253" s="1118"/>
      <c r="AF253" s="1118"/>
      <c r="AG253" s="1118"/>
      <c r="AH253" s="1118"/>
      <c r="AI253" s="1118"/>
      <c r="AJ253" s="1118"/>
      <c r="AK253" s="1118"/>
      <c r="AL253" s="1118"/>
      <c r="AM253" s="1118"/>
      <c r="AN253" s="1118"/>
      <c r="AO253" s="1118"/>
      <c r="AP253" s="1099"/>
      <c r="AQ253" s="1099"/>
      <c r="AR253" s="1109"/>
      <c r="AS253" s="1109"/>
    </row>
    <row r="254" spans="1:45" ht="12.75" customHeight="1">
      <c r="A254" s="1055" t="s">
        <v>838</v>
      </c>
      <c r="B254" s="1060" t="s">
        <v>443</v>
      </c>
      <c r="C254" s="1056" t="s">
        <v>793</v>
      </c>
      <c r="D254" s="1118" t="e">
        <f t="shared" si="0"/>
        <v>#DIV/0!</v>
      </c>
      <c r="E254" s="1118"/>
      <c r="F254" s="1118"/>
      <c r="G254" s="1118"/>
      <c r="H254" s="1118"/>
      <c r="I254" s="1118"/>
      <c r="J254" s="1118"/>
      <c r="K254" s="1118"/>
      <c r="L254" s="1118"/>
      <c r="M254" s="1118"/>
      <c r="N254" s="1118"/>
      <c r="O254" s="1118"/>
      <c r="P254" s="1118"/>
      <c r="Q254" s="1118"/>
      <c r="R254" s="1118"/>
      <c r="S254" s="1118"/>
      <c r="T254" s="1118"/>
      <c r="U254" s="1118"/>
      <c r="V254" s="1118"/>
      <c r="W254" s="1118"/>
      <c r="X254" s="1118"/>
      <c r="Y254" s="1118"/>
      <c r="Z254" s="1118"/>
      <c r="AA254" s="1118"/>
      <c r="AB254" s="1118"/>
      <c r="AC254" s="1118"/>
      <c r="AD254" s="1118"/>
      <c r="AE254" s="1118"/>
      <c r="AF254" s="1118"/>
      <c r="AG254" s="1118"/>
      <c r="AH254" s="1118"/>
      <c r="AI254" s="1118"/>
      <c r="AJ254" s="1118"/>
      <c r="AK254" s="1118"/>
      <c r="AL254" s="1118"/>
      <c r="AM254" s="1118"/>
      <c r="AN254" s="1118"/>
      <c r="AO254" s="1118"/>
      <c r="AP254" s="1102"/>
      <c r="AQ254" s="1102"/>
      <c r="AR254" s="1109"/>
      <c r="AS254" s="1109"/>
    </row>
    <row r="255" spans="1:45" ht="12.75" customHeight="1">
      <c r="A255" s="1055" t="s">
        <v>839</v>
      </c>
      <c r="B255" s="1060" t="s">
        <v>444</v>
      </c>
      <c r="C255" s="1056" t="s">
        <v>793</v>
      </c>
      <c r="D255" s="1118" t="e">
        <f t="shared" si="0"/>
        <v>#N/A</v>
      </c>
      <c r="E255" s="1118"/>
      <c r="F255" s="1118"/>
      <c r="G255" s="1118"/>
      <c r="H255" s="1118"/>
      <c r="I255" s="1118"/>
      <c r="J255" s="1118"/>
      <c r="K255" s="1118"/>
      <c r="L255" s="1118"/>
      <c r="M255" s="1118"/>
      <c r="N255" s="1118"/>
      <c r="O255" s="1118"/>
      <c r="P255" s="1118"/>
      <c r="Q255" s="1118"/>
      <c r="R255" s="1118"/>
      <c r="S255" s="1118"/>
      <c r="T255" s="1118"/>
      <c r="U255" s="1118"/>
      <c r="V255" s="1118"/>
      <c r="W255" s="1118"/>
      <c r="X255" s="1118"/>
      <c r="Y255" s="1118"/>
      <c r="Z255" s="1118"/>
      <c r="AA255" s="1118"/>
      <c r="AB255" s="1118"/>
      <c r="AC255" s="1118"/>
      <c r="AD255" s="1118"/>
      <c r="AE255" s="1118"/>
      <c r="AF255" s="1118"/>
      <c r="AG255" s="1118"/>
      <c r="AH255" s="1118"/>
      <c r="AI255" s="1118"/>
      <c r="AJ255" s="1118"/>
      <c r="AK255" s="1118"/>
      <c r="AL255" s="1118"/>
      <c r="AM255" s="1118"/>
      <c r="AN255" s="1118"/>
      <c r="AO255" s="1118"/>
      <c r="AP255" s="1102"/>
      <c r="AQ255" s="1102"/>
      <c r="AR255" s="1109"/>
      <c r="AS255" s="1109"/>
    </row>
    <row r="256" spans="1:45" ht="12.75" customHeight="1">
      <c r="A256" s="1055" t="s">
        <v>840</v>
      </c>
      <c r="B256" s="1060" t="s">
        <v>634</v>
      </c>
      <c r="C256" s="1056" t="s">
        <v>793</v>
      </c>
      <c r="D256" s="1118" t="e">
        <f t="shared" si="0"/>
        <v>#N/A</v>
      </c>
      <c r="E256" s="1118"/>
      <c r="F256" s="1118"/>
      <c r="G256" s="1118"/>
      <c r="H256" s="1118"/>
      <c r="I256" s="1118"/>
      <c r="J256" s="1118"/>
      <c r="K256" s="1118"/>
      <c r="L256" s="1118"/>
      <c r="M256" s="1118"/>
      <c r="N256" s="1118"/>
      <c r="O256" s="1118"/>
      <c r="P256" s="1118"/>
      <c r="Q256" s="1118"/>
      <c r="R256" s="1118"/>
      <c r="S256" s="1118"/>
      <c r="T256" s="1118"/>
      <c r="U256" s="1118"/>
      <c r="V256" s="1118"/>
      <c r="W256" s="1118"/>
      <c r="X256" s="1118"/>
      <c r="Y256" s="1118"/>
      <c r="Z256" s="1118"/>
      <c r="AA256" s="1118"/>
      <c r="AB256" s="1118"/>
      <c r="AC256" s="1118"/>
      <c r="AD256" s="1118"/>
      <c r="AE256" s="1118"/>
      <c r="AF256" s="1118"/>
      <c r="AG256" s="1118"/>
      <c r="AH256" s="1118"/>
      <c r="AI256" s="1118"/>
      <c r="AJ256" s="1118"/>
      <c r="AK256" s="1118"/>
      <c r="AL256" s="1118"/>
      <c r="AM256" s="1118"/>
      <c r="AN256" s="1118"/>
      <c r="AO256" s="1118"/>
      <c r="AP256" s="1102"/>
      <c r="AQ256" s="1102"/>
      <c r="AR256" s="1109"/>
      <c r="AS256" s="1109"/>
    </row>
    <row r="257" spans="1:45" ht="12.75" customHeight="1">
      <c r="A257" s="1055" t="s">
        <v>841</v>
      </c>
      <c r="B257" s="1060" t="s">
        <v>934</v>
      </c>
      <c r="C257" s="1056" t="s">
        <v>793</v>
      </c>
      <c r="D257" s="1118" t="e">
        <f t="shared" si="0"/>
        <v>#N/A</v>
      </c>
      <c r="E257" s="1118"/>
      <c r="F257" s="1118"/>
      <c r="G257" s="1118"/>
      <c r="H257" s="1118"/>
      <c r="I257" s="1118"/>
      <c r="J257" s="1118"/>
      <c r="K257" s="1118"/>
      <c r="L257" s="1118"/>
      <c r="M257" s="1118"/>
      <c r="N257" s="1118"/>
      <c r="O257" s="1118"/>
      <c r="P257" s="1118"/>
      <c r="Q257" s="1118"/>
      <c r="R257" s="1118"/>
      <c r="S257" s="1118"/>
      <c r="T257" s="1118"/>
      <c r="U257" s="1118"/>
      <c r="V257" s="1118"/>
      <c r="W257" s="1118"/>
      <c r="X257" s="1118"/>
      <c r="Y257" s="1118"/>
      <c r="Z257" s="1118"/>
      <c r="AA257" s="1118"/>
      <c r="AB257" s="1118"/>
      <c r="AC257" s="1118"/>
      <c r="AD257" s="1118"/>
      <c r="AE257" s="1118"/>
      <c r="AF257" s="1118"/>
      <c r="AG257" s="1118"/>
      <c r="AH257" s="1118"/>
      <c r="AI257" s="1118"/>
      <c r="AJ257" s="1118"/>
      <c r="AK257" s="1118"/>
      <c r="AL257" s="1118"/>
      <c r="AM257" s="1118"/>
      <c r="AN257" s="1118"/>
      <c r="AO257" s="1118"/>
      <c r="AP257" s="1102"/>
      <c r="AQ257" s="1102"/>
      <c r="AR257" s="1109"/>
      <c r="AS257" s="1109"/>
    </row>
    <row r="258" spans="1:45" ht="12.75" customHeight="1">
      <c r="A258" s="1055" t="s">
        <v>842</v>
      </c>
      <c r="B258" s="1060" t="s">
        <v>843</v>
      </c>
      <c r="C258" s="1056" t="s">
        <v>793</v>
      </c>
      <c r="D258" s="1118" t="e">
        <f t="shared" si="0"/>
        <v>#DIV/0!</v>
      </c>
      <c r="E258" s="1118"/>
      <c r="F258" s="1118"/>
      <c r="G258" s="1118"/>
      <c r="H258" s="1118"/>
      <c r="I258" s="1118"/>
      <c r="J258" s="1118"/>
      <c r="K258" s="1118"/>
      <c r="L258" s="1118"/>
      <c r="M258" s="1118"/>
      <c r="N258" s="1118"/>
      <c r="O258" s="1118"/>
      <c r="P258" s="1118"/>
      <c r="Q258" s="1118"/>
      <c r="R258" s="1118"/>
      <c r="S258" s="1118"/>
      <c r="T258" s="1118"/>
      <c r="U258" s="1118"/>
      <c r="V258" s="1118"/>
      <c r="W258" s="1118"/>
      <c r="X258" s="1118"/>
      <c r="Y258" s="1118"/>
      <c r="Z258" s="1118"/>
      <c r="AA258" s="1118"/>
      <c r="AB258" s="1118"/>
      <c r="AC258" s="1118"/>
      <c r="AD258" s="1118"/>
      <c r="AE258" s="1118"/>
      <c r="AF258" s="1118"/>
      <c r="AG258" s="1118"/>
      <c r="AH258" s="1118"/>
      <c r="AI258" s="1118"/>
      <c r="AJ258" s="1118"/>
      <c r="AK258" s="1118"/>
      <c r="AL258" s="1118"/>
      <c r="AM258" s="1118"/>
      <c r="AN258" s="1118"/>
      <c r="AO258" s="1118"/>
      <c r="AP258" s="1102"/>
      <c r="AQ258" s="1102"/>
      <c r="AR258" s="1109"/>
      <c r="AS258" s="1109"/>
    </row>
    <row r="259" spans="1:45" ht="12.75" customHeight="1">
      <c r="A259" s="1055" t="s">
        <v>844</v>
      </c>
      <c r="B259" s="1060" t="s">
        <v>637</v>
      </c>
      <c r="C259" s="1056" t="s">
        <v>793</v>
      </c>
      <c r="D259" s="1118">
        <f t="shared" si="0"/>
        <v>0</v>
      </c>
      <c r="E259" s="1118"/>
      <c r="F259" s="1118"/>
      <c r="G259" s="1118"/>
      <c r="H259" s="1118"/>
      <c r="I259" s="1118"/>
      <c r="J259" s="1118"/>
      <c r="K259" s="1118"/>
      <c r="L259" s="1118"/>
      <c r="M259" s="1118"/>
      <c r="N259" s="1118"/>
      <c r="O259" s="1118"/>
      <c r="P259" s="1118"/>
      <c r="Q259" s="1118"/>
      <c r="R259" s="1118"/>
      <c r="S259" s="1118"/>
      <c r="T259" s="1118"/>
      <c r="U259" s="1118"/>
      <c r="V259" s="1118"/>
      <c r="W259" s="1118"/>
      <c r="X259" s="1118"/>
      <c r="Y259" s="1118"/>
      <c r="Z259" s="1118"/>
      <c r="AA259" s="1118"/>
      <c r="AB259" s="1118"/>
      <c r="AC259" s="1118"/>
      <c r="AD259" s="1118"/>
      <c r="AE259" s="1118"/>
      <c r="AF259" s="1118"/>
      <c r="AG259" s="1118"/>
      <c r="AH259" s="1118"/>
      <c r="AI259" s="1118"/>
      <c r="AJ259" s="1118"/>
      <c r="AK259" s="1118"/>
      <c r="AL259" s="1118"/>
      <c r="AM259" s="1118"/>
      <c r="AN259" s="1118"/>
      <c r="AO259" s="1118"/>
      <c r="AP259" s="1102"/>
      <c r="AQ259" s="1102"/>
      <c r="AR259" s="1109"/>
      <c r="AS259" s="1109"/>
    </row>
    <row r="260" spans="1:45" ht="12.75" customHeight="1">
      <c r="A260" s="1055" t="s">
        <v>845</v>
      </c>
      <c r="B260" s="1060" t="s">
        <v>846</v>
      </c>
      <c r="C260" s="1056" t="s">
        <v>793</v>
      </c>
      <c r="D260" s="1118" t="e">
        <f t="shared" si="0"/>
        <v>#DIV/0!</v>
      </c>
      <c r="E260" s="1118"/>
      <c r="F260" s="1118"/>
      <c r="G260" s="1118"/>
      <c r="H260" s="1118"/>
      <c r="I260" s="1118"/>
      <c r="J260" s="1118"/>
      <c r="K260" s="1118"/>
      <c r="L260" s="1118"/>
      <c r="M260" s="1118"/>
      <c r="N260" s="1118"/>
      <c r="O260" s="1118"/>
      <c r="P260" s="1118"/>
      <c r="Q260" s="1118"/>
      <c r="R260" s="1118"/>
      <c r="S260" s="1118"/>
      <c r="T260" s="1118"/>
      <c r="U260" s="1118"/>
      <c r="V260" s="1118"/>
      <c r="W260" s="1118"/>
      <c r="X260" s="1118"/>
      <c r="Y260" s="1118"/>
      <c r="Z260" s="1118"/>
      <c r="AA260" s="1118"/>
      <c r="AB260" s="1118"/>
      <c r="AC260" s="1118"/>
      <c r="AD260" s="1118"/>
      <c r="AE260" s="1118"/>
      <c r="AF260" s="1118"/>
      <c r="AG260" s="1118"/>
      <c r="AH260" s="1118"/>
      <c r="AI260" s="1118"/>
      <c r="AJ260" s="1118"/>
      <c r="AK260" s="1118"/>
      <c r="AL260" s="1118"/>
      <c r="AM260" s="1118"/>
      <c r="AN260" s="1118"/>
      <c r="AO260" s="1118"/>
      <c r="AP260" s="1102"/>
      <c r="AQ260" s="1102"/>
      <c r="AR260" s="1109"/>
      <c r="AS260" s="1109"/>
    </row>
    <row r="261" spans="1:45" ht="12.75" customHeight="1">
      <c r="A261" s="1055" t="s">
        <v>847</v>
      </c>
      <c r="B261" s="1060" t="s">
        <v>848</v>
      </c>
      <c r="C261" s="1056" t="s">
        <v>793</v>
      </c>
      <c r="D261" s="1118" t="e">
        <f t="shared" si="0"/>
        <v>#DIV/0!</v>
      </c>
      <c r="E261" s="1118"/>
      <c r="F261" s="1118"/>
      <c r="G261" s="1118"/>
      <c r="H261" s="1118"/>
      <c r="I261" s="1118"/>
      <c r="J261" s="1118"/>
      <c r="K261" s="1118"/>
      <c r="L261" s="1118"/>
      <c r="M261" s="1118"/>
      <c r="N261" s="1118"/>
      <c r="O261" s="1118"/>
      <c r="P261" s="1118"/>
      <c r="Q261" s="1118"/>
      <c r="R261" s="1118"/>
      <c r="S261" s="1118"/>
      <c r="T261" s="1118"/>
      <c r="U261" s="1118"/>
      <c r="V261" s="1118"/>
      <c r="W261" s="1118"/>
      <c r="X261" s="1118"/>
      <c r="Y261" s="1118"/>
      <c r="Z261" s="1118"/>
      <c r="AA261" s="1118"/>
      <c r="AB261" s="1118"/>
      <c r="AC261" s="1118"/>
      <c r="AD261" s="1118"/>
      <c r="AE261" s="1118"/>
      <c r="AF261" s="1118"/>
      <c r="AG261" s="1118"/>
      <c r="AH261" s="1118"/>
      <c r="AI261" s="1118"/>
      <c r="AJ261" s="1118"/>
      <c r="AK261" s="1118"/>
      <c r="AL261" s="1118"/>
      <c r="AM261" s="1118"/>
      <c r="AN261" s="1118"/>
      <c r="AO261" s="1118"/>
      <c r="AP261" s="1102"/>
      <c r="AQ261" s="1102"/>
      <c r="AR261" s="1109"/>
      <c r="AS261" s="1109"/>
    </row>
    <row r="262" spans="1:45" ht="12.75" customHeight="1">
      <c r="A262" s="1055" t="s">
        <v>849</v>
      </c>
      <c r="B262" s="1060" t="s">
        <v>694</v>
      </c>
      <c r="C262" s="1056" t="s">
        <v>793</v>
      </c>
      <c r="D262" s="1118" t="e">
        <f t="shared" si="0"/>
        <v>#DIV/0!</v>
      </c>
      <c r="E262" s="1118"/>
      <c r="F262" s="1118"/>
      <c r="G262" s="1118"/>
      <c r="H262" s="1118"/>
      <c r="I262" s="1118"/>
      <c r="J262" s="1118"/>
      <c r="K262" s="1118"/>
      <c r="L262" s="1118"/>
      <c r="M262" s="1118"/>
      <c r="N262" s="1118"/>
      <c r="O262" s="1118"/>
      <c r="P262" s="1118"/>
      <c r="Q262" s="1118"/>
      <c r="R262" s="1118"/>
      <c r="S262" s="1118"/>
      <c r="T262" s="1118"/>
      <c r="U262" s="1118"/>
      <c r="V262" s="1118"/>
      <c r="W262" s="1118"/>
      <c r="X262" s="1118"/>
      <c r="Y262" s="1118"/>
      <c r="Z262" s="1118"/>
      <c r="AA262" s="1118"/>
      <c r="AB262" s="1118"/>
      <c r="AC262" s="1118"/>
      <c r="AD262" s="1118"/>
      <c r="AE262" s="1118"/>
      <c r="AF262" s="1118"/>
      <c r="AG262" s="1118"/>
      <c r="AH262" s="1118"/>
      <c r="AI262" s="1118"/>
      <c r="AJ262" s="1118"/>
      <c r="AK262" s="1118"/>
      <c r="AL262" s="1118"/>
      <c r="AM262" s="1118"/>
      <c r="AN262" s="1118"/>
      <c r="AO262" s="1118"/>
      <c r="AP262" s="1102"/>
      <c r="AQ262" s="1102"/>
      <c r="AR262" s="1109"/>
      <c r="AS262" s="1109"/>
    </row>
    <row r="263" spans="1:45" ht="12.75" customHeight="1">
      <c r="A263" s="1055" t="s">
        <v>850</v>
      </c>
      <c r="B263" s="1060" t="s">
        <v>696</v>
      </c>
      <c r="C263" s="1056" t="s">
        <v>793</v>
      </c>
      <c r="D263" s="1118" t="e">
        <f t="shared" si="0"/>
        <v>#DIV/0!</v>
      </c>
      <c r="E263" s="1118"/>
      <c r="F263" s="1118"/>
      <c r="G263" s="1118"/>
      <c r="H263" s="1118"/>
      <c r="I263" s="1118"/>
      <c r="J263" s="1118"/>
      <c r="K263" s="1118"/>
      <c r="L263" s="1118"/>
      <c r="M263" s="1118"/>
      <c r="N263" s="1118"/>
      <c r="O263" s="1118"/>
      <c r="P263" s="1118"/>
      <c r="Q263" s="1118"/>
      <c r="R263" s="1118"/>
      <c r="S263" s="1118"/>
      <c r="T263" s="1118"/>
      <c r="U263" s="1118"/>
      <c r="V263" s="1118"/>
      <c r="W263" s="1118"/>
      <c r="X263" s="1118"/>
      <c r="Y263" s="1118"/>
      <c r="Z263" s="1118"/>
      <c r="AA263" s="1118"/>
      <c r="AB263" s="1118"/>
      <c r="AC263" s="1118"/>
      <c r="AD263" s="1118"/>
      <c r="AE263" s="1118"/>
      <c r="AF263" s="1118"/>
      <c r="AG263" s="1118"/>
      <c r="AH263" s="1118"/>
      <c r="AI263" s="1118"/>
      <c r="AJ263" s="1118"/>
      <c r="AK263" s="1118"/>
      <c r="AL263" s="1118"/>
      <c r="AM263" s="1118"/>
      <c r="AN263" s="1118"/>
      <c r="AO263" s="1118"/>
      <c r="AP263" s="1111"/>
      <c r="AQ263" s="1111"/>
      <c r="AR263" s="1109"/>
      <c r="AS263" s="1109"/>
    </row>
    <row r="264" spans="1:45" ht="12.75" customHeight="1">
      <c r="A264" s="1055" t="s">
        <v>851</v>
      </c>
      <c r="B264" s="1060" t="s">
        <v>698</v>
      </c>
      <c r="C264" s="1056" t="s">
        <v>793</v>
      </c>
      <c r="D264" s="1118" t="e">
        <f t="shared" si="0"/>
        <v>#DIV/0!</v>
      </c>
      <c r="E264" s="1118"/>
      <c r="F264" s="1118"/>
      <c r="G264" s="1118"/>
      <c r="H264" s="1118"/>
      <c r="I264" s="1118"/>
      <c r="J264" s="1118"/>
      <c r="K264" s="1118"/>
      <c r="L264" s="1118"/>
      <c r="M264" s="1118"/>
      <c r="N264" s="1118"/>
      <c r="O264" s="1118"/>
      <c r="P264" s="1118"/>
      <c r="Q264" s="1118"/>
      <c r="R264" s="1118"/>
      <c r="S264" s="1118"/>
      <c r="T264" s="1118"/>
      <c r="U264" s="1118"/>
      <c r="V264" s="1118"/>
      <c r="W264" s="1118"/>
      <c r="X264" s="1118"/>
      <c r="Y264" s="1118"/>
      <c r="Z264" s="1118"/>
      <c r="AA264" s="1118"/>
      <c r="AB264" s="1118"/>
      <c r="AC264" s="1118"/>
      <c r="AD264" s="1118"/>
      <c r="AE264" s="1118"/>
      <c r="AF264" s="1118"/>
      <c r="AG264" s="1118"/>
      <c r="AH264" s="1118"/>
      <c r="AI264" s="1118"/>
      <c r="AJ264" s="1118"/>
      <c r="AK264" s="1118"/>
      <c r="AL264" s="1118"/>
      <c r="AM264" s="1118"/>
      <c r="AN264" s="1118"/>
      <c r="AO264" s="1118"/>
      <c r="AP264" s="1102"/>
      <c r="AQ264" s="1102"/>
      <c r="AR264" s="1109"/>
      <c r="AS264" s="1109"/>
    </row>
    <row r="265" spans="1:45" ht="12.75" customHeight="1">
      <c r="A265" s="1055"/>
      <c r="B265" s="1060"/>
      <c r="C265" s="1056"/>
      <c r="D265" s="1118"/>
      <c r="E265" s="1118"/>
      <c r="F265" s="1118"/>
      <c r="G265" s="1118"/>
      <c r="H265" s="1118"/>
      <c r="I265" s="1118"/>
      <c r="J265" s="1118"/>
      <c r="K265" s="1118"/>
      <c r="L265" s="1118"/>
      <c r="M265" s="1118"/>
      <c r="N265" s="1118"/>
      <c r="O265" s="1118"/>
      <c r="P265" s="1118"/>
      <c r="Q265" s="1118"/>
      <c r="R265" s="1118"/>
      <c r="S265" s="1118"/>
      <c r="T265" s="1118"/>
      <c r="U265" s="1118"/>
      <c r="V265" s="1118"/>
      <c r="W265" s="1118"/>
      <c r="X265" s="1118"/>
      <c r="Y265" s="1118"/>
      <c r="Z265" s="1118"/>
      <c r="AA265" s="1118"/>
      <c r="AB265" s="1118"/>
      <c r="AC265" s="1118"/>
      <c r="AD265" s="1118"/>
      <c r="AE265" s="1118"/>
      <c r="AF265" s="1118"/>
      <c r="AG265" s="1118"/>
      <c r="AH265" s="1118"/>
      <c r="AI265" s="1118"/>
      <c r="AJ265" s="1118"/>
      <c r="AK265" s="1118"/>
      <c r="AL265" s="1118"/>
      <c r="AM265" s="1118"/>
      <c r="AN265" s="1118"/>
      <c r="AO265" s="1118"/>
      <c r="AP265" s="1111"/>
      <c r="AQ265" s="1111"/>
      <c r="AR265" s="1109"/>
      <c r="AS265" s="1109"/>
    </row>
    <row r="266" spans="1:45" ht="12.75" customHeight="1">
      <c r="A266" s="1055" t="s">
        <v>935</v>
      </c>
      <c r="B266" s="1060" t="s">
        <v>936</v>
      </c>
      <c r="C266" s="1056" t="s">
        <v>778</v>
      </c>
      <c r="D266" s="1119" t="e">
        <f>D180</f>
        <v>#N/A</v>
      </c>
      <c r="E266" s="1119"/>
      <c r="F266" s="1119"/>
      <c r="G266" s="1119"/>
      <c r="H266" s="1119"/>
      <c r="I266" s="1119"/>
      <c r="J266" s="1119"/>
      <c r="K266" s="1119"/>
      <c r="L266" s="1119"/>
      <c r="M266" s="1119"/>
      <c r="N266" s="1119"/>
      <c r="O266" s="1119"/>
      <c r="P266" s="1119"/>
      <c r="Q266" s="1119"/>
      <c r="R266" s="1119"/>
      <c r="S266" s="1119"/>
      <c r="T266" s="1119"/>
      <c r="U266" s="1119"/>
      <c r="V266" s="1119"/>
      <c r="W266" s="1119"/>
      <c r="X266" s="1119"/>
      <c r="Y266" s="1119"/>
      <c r="Z266" s="1119"/>
      <c r="AA266" s="1119"/>
      <c r="AB266" s="1119"/>
      <c r="AC266" s="1119"/>
      <c r="AD266" s="1119"/>
      <c r="AE266" s="1119"/>
      <c r="AF266" s="1119"/>
      <c r="AG266" s="1119"/>
      <c r="AH266" s="1119"/>
      <c r="AI266" s="1119"/>
      <c r="AJ266" s="1119"/>
      <c r="AK266" s="1119"/>
      <c r="AL266" s="1119"/>
      <c r="AM266" s="1119"/>
      <c r="AN266" s="1119"/>
      <c r="AO266" s="1119"/>
      <c r="AP266" s="1102"/>
      <c r="AQ266" s="1102"/>
      <c r="AR266" s="1109"/>
      <c r="AS266" s="1109"/>
    </row>
    <row r="267" spans="1:45" ht="12.75" customHeight="1">
      <c r="A267" s="1055" t="s">
        <v>937</v>
      </c>
      <c r="B267" s="1060" t="s">
        <v>938</v>
      </c>
      <c r="C267" s="1056" t="s">
        <v>108</v>
      </c>
      <c r="D267" s="1120" t="e">
        <f>D182</f>
        <v>#N/A</v>
      </c>
      <c r="E267" s="1120"/>
      <c r="F267" s="1120"/>
      <c r="G267" s="1120"/>
      <c r="H267" s="1120"/>
      <c r="I267" s="1120"/>
      <c r="J267" s="1120"/>
      <c r="K267" s="1120"/>
      <c r="L267" s="1120"/>
      <c r="M267" s="1120"/>
      <c r="N267" s="1120"/>
      <c r="O267" s="1120"/>
      <c r="P267" s="1120"/>
      <c r="Q267" s="1120"/>
      <c r="R267" s="1120"/>
      <c r="S267" s="1120"/>
      <c r="T267" s="1120"/>
      <c r="U267" s="1120"/>
      <c r="V267" s="1120"/>
      <c r="W267" s="1120"/>
      <c r="X267" s="1120"/>
      <c r="Y267" s="1120"/>
      <c r="Z267" s="1120"/>
      <c r="AA267" s="1120"/>
      <c r="AB267" s="1120"/>
      <c r="AC267" s="1120"/>
      <c r="AD267" s="1120"/>
      <c r="AE267" s="1120"/>
      <c r="AF267" s="1120"/>
      <c r="AG267" s="1120"/>
      <c r="AH267" s="1120"/>
      <c r="AI267" s="1120"/>
      <c r="AJ267" s="1120"/>
      <c r="AK267" s="1120"/>
      <c r="AL267" s="1120"/>
      <c r="AM267" s="1120"/>
      <c r="AN267" s="1120"/>
      <c r="AO267" s="1120"/>
      <c r="AP267" s="1102"/>
      <c r="AQ267" s="1102"/>
      <c r="AR267" s="1109"/>
      <c r="AS267" s="1109"/>
    </row>
    <row r="268" spans="1:256" s="1096" customFormat="1" ht="12.75" customHeight="1">
      <c r="A268" s="1055" t="s">
        <v>939</v>
      </c>
      <c r="B268" s="1060" t="s">
        <v>940</v>
      </c>
      <c r="C268" s="1056" t="s">
        <v>941</v>
      </c>
      <c r="D268" s="1120" t="e">
        <f>'Edition 1'!B59</f>
        <v>#DIV/0!</v>
      </c>
      <c r="E268" s="1120"/>
      <c r="F268" s="1120"/>
      <c r="G268" s="1120"/>
      <c r="H268" s="1120"/>
      <c r="I268" s="1120"/>
      <c r="J268" s="1120"/>
      <c r="K268" s="1120"/>
      <c r="L268" s="1120"/>
      <c r="M268" s="1120"/>
      <c r="N268" s="1120"/>
      <c r="O268" s="1120"/>
      <c r="P268" s="1120"/>
      <c r="Q268" s="1120"/>
      <c r="R268" s="1120"/>
      <c r="S268" s="1120"/>
      <c r="T268" s="1120"/>
      <c r="U268" s="1120"/>
      <c r="V268" s="1120"/>
      <c r="W268" s="1120"/>
      <c r="X268" s="1120"/>
      <c r="Y268" s="1120"/>
      <c r="Z268" s="1120"/>
      <c r="AA268" s="1120"/>
      <c r="AB268" s="1120"/>
      <c r="AC268" s="1120"/>
      <c r="AD268" s="1120"/>
      <c r="AE268" s="1120"/>
      <c r="AF268" s="1120"/>
      <c r="AG268" s="1120"/>
      <c r="AH268" s="1120"/>
      <c r="AI268" s="1120"/>
      <c r="AJ268" s="1120"/>
      <c r="AK268" s="1120"/>
      <c r="AL268" s="1120"/>
      <c r="AM268" s="1120"/>
      <c r="AN268" s="1120"/>
      <c r="AO268" s="1120"/>
      <c r="AR268" s="1121"/>
      <c r="AS268" s="1121"/>
      <c r="IN268" s="1023"/>
      <c r="IO268" s="1023"/>
      <c r="IP268" s="1023"/>
      <c r="IQ268" s="1023"/>
      <c r="IR268" s="1023"/>
      <c r="IS268" s="1023"/>
      <c r="IT268" s="1023"/>
      <c r="IU268" s="1023"/>
      <c r="IV268" s="1023"/>
    </row>
    <row r="269" spans="1:256" s="1059" customFormat="1" ht="12.75" customHeight="1">
      <c r="A269" s="673"/>
      <c r="B269" s="1060"/>
      <c r="C269" s="1056"/>
      <c r="D269" s="1120"/>
      <c r="E269" s="1120"/>
      <c r="F269" s="1120"/>
      <c r="G269" s="1120"/>
      <c r="H269" s="1120"/>
      <c r="I269" s="1120"/>
      <c r="J269" s="1120"/>
      <c r="K269" s="1120"/>
      <c r="L269" s="1120"/>
      <c r="M269" s="1120"/>
      <c r="N269" s="1120"/>
      <c r="O269" s="1120"/>
      <c r="P269" s="1120"/>
      <c r="Q269" s="1120"/>
      <c r="R269" s="1120"/>
      <c r="S269" s="1120"/>
      <c r="T269" s="1120"/>
      <c r="U269" s="1120"/>
      <c r="V269" s="1120"/>
      <c r="W269" s="1120"/>
      <c r="X269" s="1120"/>
      <c r="Y269" s="1120"/>
      <c r="Z269" s="1120"/>
      <c r="AA269" s="1120"/>
      <c r="AB269" s="1120"/>
      <c r="AC269" s="1120"/>
      <c r="AD269" s="1120"/>
      <c r="AE269" s="1120"/>
      <c r="AF269" s="1120"/>
      <c r="AG269" s="1120"/>
      <c r="AH269" s="1120"/>
      <c r="AI269" s="1120"/>
      <c r="AJ269" s="1120"/>
      <c r="AK269" s="1120"/>
      <c r="AL269" s="1120"/>
      <c r="AM269" s="1120"/>
      <c r="AN269" s="1120"/>
      <c r="AO269" s="1120"/>
      <c r="AR269" s="1109"/>
      <c r="AS269" s="1109"/>
      <c r="IN269" s="1023"/>
      <c r="IO269" s="1023"/>
      <c r="IP269" s="1023"/>
      <c r="IQ269" s="1023"/>
      <c r="IR269" s="1023"/>
      <c r="IS269" s="1023"/>
      <c r="IT269" s="1023"/>
      <c r="IU269" s="1023"/>
      <c r="IV269" s="1023"/>
    </row>
    <row r="270" spans="1:256" s="1059" customFormat="1" ht="12.75" customHeight="1">
      <c r="A270" s="1055" t="s">
        <v>900</v>
      </c>
      <c r="B270" s="1060" t="s">
        <v>901</v>
      </c>
      <c r="C270" s="1056" t="s">
        <v>793</v>
      </c>
      <c r="D270" s="1118" t="e">
        <f aca="true" t="shared" si="1" ref="D270:D275">D202</f>
        <v>#DIV/0!</v>
      </c>
      <c r="E270" s="1118"/>
      <c r="F270" s="1118"/>
      <c r="G270" s="1118"/>
      <c r="H270" s="1118"/>
      <c r="I270" s="1118"/>
      <c r="J270" s="1118"/>
      <c r="K270" s="1118"/>
      <c r="L270" s="1118"/>
      <c r="M270" s="1118"/>
      <c r="N270" s="1118"/>
      <c r="O270" s="1118"/>
      <c r="P270" s="1118"/>
      <c r="Q270" s="1118"/>
      <c r="R270" s="1118"/>
      <c r="S270" s="1118"/>
      <c r="T270" s="1118"/>
      <c r="U270" s="1118"/>
      <c r="V270" s="1118"/>
      <c r="W270" s="1118"/>
      <c r="X270" s="1118"/>
      <c r="Y270" s="1118"/>
      <c r="Z270" s="1118"/>
      <c r="AA270" s="1118"/>
      <c r="AB270" s="1118"/>
      <c r="AC270" s="1118"/>
      <c r="AD270" s="1118"/>
      <c r="AE270" s="1118"/>
      <c r="AF270" s="1118"/>
      <c r="AG270" s="1118"/>
      <c r="AH270" s="1118"/>
      <c r="AI270" s="1118"/>
      <c r="AJ270" s="1118"/>
      <c r="AK270" s="1118"/>
      <c r="AL270" s="1118"/>
      <c r="AM270" s="1118"/>
      <c r="AN270" s="1118"/>
      <c r="AO270" s="1118"/>
      <c r="AR270" s="1109"/>
      <c r="AS270" s="1109"/>
      <c r="IN270" s="1023"/>
      <c r="IO270" s="1023"/>
      <c r="IP270" s="1023"/>
      <c r="IQ270" s="1023"/>
      <c r="IR270" s="1023"/>
      <c r="IS270" s="1023"/>
      <c r="IT270" s="1023"/>
      <c r="IU270" s="1023"/>
      <c r="IV270" s="1023"/>
    </row>
    <row r="271" spans="1:256" s="1098" customFormat="1" ht="12.75" customHeight="1">
      <c r="A271" s="1055" t="s">
        <v>902</v>
      </c>
      <c r="B271" s="1060" t="s">
        <v>903</v>
      </c>
      <c r="C271" s="1056" t="s">
        <v>793</v>
      </c>
      <c r="D271" s="1118" t="e">
        <f t="shared" si="1"/>
        <v>#DIV/0!</v>
      </c>
      <c r="E271" s="1118"/>
      <c r="F271" s="1118"/>
      <c r="G271" s="1118"/>
      <c r="H271" s="1118"/>
      <c r="I271" s="1118"/>
      <c r="J271" s="1118"/>
      <c r="K271" s="1118"/>
      <c r="L271" s="1118"/>
      <c r="M271" s="1118"/>
      <c r="N271" s="1118"/>
      <c r="O271" s="1118"/>
      <c r="P271" s="1118"/>
      <c r="Q271" s="1118"/>
      <c r="R271" s="1118"/>
      <c r="S271" s="1118"/>
      <c r="T271" s="1118"/>
      <c r="U271" s="1118"/>
      <c r="V271" s="1118"/>
      <c r="W271" s="1118"/>
      <c r="X271" s="1118"/>
      <c r="Y271" s="1118"/>
      <c r="Z271" s="1118"/>
      <c r="AA271" s="1118"/>
      <c r="AB271" s="1118"/>
      <c r="AC271" s="1118"/>
      <c r="AD271" s="1118"/>
      <c r="AE271" s="1118"/>
      <c r="AF271" s="1118"/>
      <c r="AG271" s="1118"/>
      <c r="AH271" s="1118"/>
      <c r="AI271" s="1118"/>
      <c r="AJ271" s="1118"/>
      <c r="AK271" s="1118"/>
      <c r="AL271" s="1118"/>
      <c r="AM271" s="1118"/>
      <c r="AN271" s="1118"/>
      <c r="AO271" s="1118"/>
      <c r="AR271" s="1121"/>
      <c r="AS271" s="1121"/>
      <c r="IN271" s="1023"/>
      <c r="IO271" s="1023"/>
      <c r="IP271" s="1023"/>
      <c r="IQ271" s="1023"/>
      <c r="IR271" s="1023"/>
      <c r="IS271" s="1023"/>
      <c r="IT271" s="1023"/>
      <c r="IU271" s="1023"/>
      <c r="IV271" s="1023"/>
    </row>
    <row r="272" spans="1:256" s="1100" customFormat="1" ht="12.75" customHeight="1">
      <c r="A272" s="1055" t="s">
        <v>904</v>
      </c>
      <c r="B272" s="1060" t="s">
        <v>905</v>
      </c>
      <c r="C272" s="1056" t="s">
        <v>793</v>
      </c>
      <c r="D272" s="1118" t="e">
        <f t="shared" si="1"/>
        <v>#N/A</v>
      </c>
      <c r="E272" s="1118"/>
      <c r="F272" s="1118"/>
      <c r="G272" s="1118"/>
      <c r="H272" s="1118"/>
      <c r="I272" s="1118"/>
      <c r="J272" s="1118"/>
      <c r="K272" s="1118"/>
      <c r="L272" s="1118"/>
      <c r="M272" s="1118"/>
      <c r="N272" s="1118"/>
      <c r="O272" s="1118"/>
      <c r="P272" s="1118"/>
      <c r="Q272" s="1118"/>
      <c r="R272" s="1118"/>
      <c r="S272" s="1118"/>
      <c r="T272" s="1118"/>
      <c r="U272" s="1118"/>
      <c r="V272" s="1118"/>
      <c r="W272" s="1118"/>
      <c r="X272" s="1118"/>
      <c r="Y272" s="1118"/>
      <c r="Z272" s="1118"/>
      <c r="AA272" s="1118"/>
      <c r="AB272" s="1118"/>
      <c r="AC272" s="1118"/>
      <c r="AD272" s="1118"/>
      <c r="AE272" s="1118"/>
      <c r="AF272" s="1118"/>
      <c r="AG272" s="1118"/>
      <c r="AH272" s="1118"/>
      <c r="AI272" s="1118"/>
      <c r="AJ272" s="1118"/>
      <c r="AK272" s="1118"/>
      <c r="AL272" s="1118"/>
      <c r="AM272" s="1118"/>
      <c r="AN272" s="1118"/>
      <c r="AO272" s="1118"/>
      <c r="AP272" s="1099"/>
      <c r="AQ272" s="1099"/>
      <c r="AR272" s="1109"/>
      <c r="AS272" s="1109"/>
      <c r="IN272" s="1023"/>
      <c r="IO272" s="1023"/>
      <c r="IP272" s="1023"/>
      <c r="IQ272" s="1023"/>
      <c r="IR272" s="1023"/>
      <c r="IS272" s="1023"/>
      <c r="IT272" s="1023"/>
      <c r="IU272" s="1023"/>
      <c r="IV272" s="1023"/>
    </row>
    <row r="273" spans="1:41" ht="12.75" customHeight="1">
      <c r="A273" s="1055" t="s">
        <v>906</v>
      </c>
      <c r="B273" s="1060" t="s">
        <v>907</v>
      </c>
      <c r="C273" s="1056" t="s">
        <v>793</v>
      </c>
      <c r="D273" s="1118" t="e">
        <f t="shared" si="1"/>
        <v>#DIV/0!</v>
      </c>
      <c r="E273" s="1118"/>
      <c r="F273" s="1118"/>
      <c r="G273" s="1118"/>
      <c r="H273" s="1118"/>
      <c r="I273" s="1118"/>
      <c r="J273" s="1118"/>
      <c r="K273" s="1118"/>
      <c r="L273" s="1118"/>
      <c r="M273" s="1118"/>
      <c r="N273" s="1118"/>
      <c r="O273" s="1118"/>
      <c r="P273" s="1118"/>
      <c r="Q273" s="1118"/>
      <c r="R273" s="1118"/>
      <c r="S273" s="1118"/>
      <c r="T273" s="1118"/>
      <c r="U273" s="1118"/>
      <c r="V273" s="1118"/>
      <c r="W273" s="1118"/>
      <c r="X273" s="1118"/>
      <c r="Y273" s="1118"/>
      <c r="Z273" s="1118"/>
      <c r="AA273" s="1118"/>
      <c r="AB273" s="1118"/>
      <c r="AC273" s="1118"/>
      <c r="AD273" s="1118"/>
      <c r="AE273" s="1118"/>
      <c r="AF273" s="1118"/>
      <c r="AG273" s="1118"/>
      <c r="AH273" s="1118"/>
      <c r="AI273" s="1118"/>
      <c r="AJ273" s="1118"/>
      <c r="AK273" s="1118"/>
      <c r="AL273" s="1118"/>
      <c r="AM273" s="1118"/>
      <c r="AN273" s="1118"/>
      <c r="AO273" s="1118"/>
    </row>
    <row r="274" spans="1:41" ht="12.75" customHeight="1">
      <c r="A274" s="1055" t="s">
        <v>908</v>
      </c>
      <c r="B274" s="1060" t="s">
        <v>909</v>
      </c>
      <c r="C274" s="1056" t="s">
        <v>793</v>
      </c>
      <c r="D274" s="1118" t="e">
        <f t="shared" si="1"/>
        <v>#N/A</v>
      </c>
      <c r="E274" s="1118"/>
      <c r="F274" s="1118"/>
      <c r="G274" s="1118"/>
      <c r="H274" s="1118"/>
      <c r="I274" s="1118"/>
      <c r="J274" s="1118"/>
      <c r="K274" s="1118"/>
      <c r="L274" s="1118"/>
      <c r="M274" s="1118"/>
      <c r="N274" s="1118"/>
      <c r="O274" s="1118"/>
      <c r="P274" s="1118"/>
      <c r="Q274" s="1118"/>
      <c r="R274" s="1118"/>
      <c r="S274" s="1118"/>
      <c r="T274" s="1118"/>
      <c r="U274" s="1118"/>
      <c r="V274" s="1118"/>
      <c r="W274" s="1118"/>
      <c r="X274" s="1118"/>
      <c r="Y274" s="1118"/>
      <c r="Z274" s="1118"/>
      <c r="AA274" s="1118"/>
      <c r="AB274" s="1118"/>
      <c r="AC274" s="1118"/>
      <c r="AD274" s="1118"/>
      <c r="AE274" s="1118"/>
      <c r="AF274" s="1118"/>
      <c r="AG274" s="1118"/>
      <c r="AH274" s="1118"/>
      <c r="AI274" s="1118"/>
      <c r="AJ274" s="1118"/>
      <c r="AK274" s="1118"/>
      <c r="AL274" s="1118"/>
      <c r="AM274" s="1118"/>
      <c r="AN274" s="1118"/>
      <c r="AO274" s="1118"/>
    </row>
    <row r="275" spans="1:41" ht="12.75" customHeight="1">
      <c r="A275" s="1055" t="s">
        <v>910</v>
      </c>
      <c r="B275" s="1060" t="s">
        <v>911</v>
      </c>
      <c r="C275" s="1056" t="s">
        <v>793</v>
      </c>
      <c r="D275" s="1118" t="e">
        <f t="shared" si="1"/>
        <v>#DIV/0!</v>
      </c>
      <c r="E275" s="1118"/>
      <c r="F275" s="1118"/>
      <c r="G275" s="1118"/>
      <c r="H275" s="1118"/>
      <c r="I275" s="1118"/>
      <c r="J275" s="1118"/>
      <c r="K275" s="1118"/>
      <c r="L275" s="1118"/>
      <c r="M275" s="1118"/>
      <c r="N275" s="1118"/>
      <c r="O275" s="1118"/>
      <c r="P275" s="1118"/>
      <c r="Q275" s="1118"/>
      <c r="R275" s="1118"/>
      <c r="S275" s="1118"/>
      <c r="T275" s="1118"/>
      <c r="U275" s="1118"/>
      <c r="V275" s="1118"/>
      <c r="W275" s="1118"/>
      <c r="X275" s="1118"/>
      <c r="Y275" s="1118"/>
      <c r="Z275" s="1118"/>
      <c r="AA275" s="1118"/>
      <c r="AB275" s="1118"/>
      <c r="AC275" s="1118"/>
      <c r="AD275" s="1118"/>
      <c r="AE275" s="1118"/>
      <c r="AF275" s="1118"/>
      <c r="AG275" s="1118"/>
      <c r="AH275" s="1118"/>
      <c r="AI275" s="1118"/>
      <c r="AJ275" s="1118"/>
      <c r="AK275" s="1118"/>
      <c r="AL275" s="1118"/>
      <c r="AM275" s="1118"/>
      <c r="AN275" s="1118"/>
      <c r="AO275" s="1118"/>
    </row>
    <row r="276" spans="2:41" ht="12.75" customHeight="1">
      <c r="B276" s="1060"/>
      <c r="C276" s="1056"/>
      <c r="D276" s="1118"/>
      <c r="E276" s="1118"/>
      <c r="F276" s="1118"/>
      <c r="G276" s="1118"/>
      <c r="H276" s="1118"/>
      <c r="I276" s="1118"/>
      <c r="J276" s="1118"/>
      <c r="K276" s="1118"/>
      <c r="L276" s="1118"/>
      <c r="M276" s="1118"/>
      <c r="N276" s="1118"/>
      <c r="O276" s="1118"/>
      <c r="P276" s="1118"/>
      <c r="Q276" s="1118"/>
      <c r="R276" s="1118"/>
      <c r="S276" s="1118"/>
      <c r="T276" s="1118"/>
      <c r="U276" s="1118"/>
      <c r="V276" s="1118"/>
      <c r="W276" s="1118"/>
      <c r="X276" s="1118"/>
      <c r="Y276" s="1118"/>
      <c r="Z276" s="1118"/>
      <c r="AA276" s="1118"/>
      <c r="AB276" s="1118"/>
      <c r="AC276" s="1118"/>
      <c r="AD276" s="1118"/>
      <c r="AE276" s="1118"/>
      <c r="AF276" s="1118"/>
      <c r="AG276" s="1118"/>
      <c r="AH276" s="1118"/>
      <c r="AI276" s="1118"/>
      <c r="AJ276" s="1118"/>
      <c r="AK276" s="1118"/>
      <c r="AL276" s="1118"/>
      <c r="AM276" s="1118"/>
      <c r="AN276" s="1118"/>
      <c r="AO276" s="1118"/>
    </row>
    <row r="277" spans="1:41" ht="12.75" customHeight="1">
      <c r="A277" s="1113" t="s">
        <v>917</v>
      </c>
      <c r="B277" s="1114" t="s">
        <v>918</v>
      </c>
      <c r="C277" s="1056" t="s">
        <v>919</v>
      </c>
      <c r="D277" s="1118" t="e">
        <f aca="true" t="shared" si="2" ref="D277:D282">D210</f>
        <v>#DIV/0!</v>
      </c>
      <c r="E277" s="1118"/>
      <c r="F277" s="1118"/>
      <c r="G277" s="1118"/>
      <c r="H277" s="1118"/>
      <c r="I277" s="1118"/>
      <c r="J277" s="1118"/>
      <c r="K277" s="1118"/>
      <c r="L277" s="1118"/>
      <c r="M277" s="1118"/>
      <c r="N277" s="1118"/>
      <c r="O277" s="1118"/>
      <c r="P277" s="1118"/>
      <c r="Q277" s="1118"/>
      <c r="R277" s="1118"/>
      <c r="S277" s="1118"/>
      <c r="T277" s="1118"/>
      <c r="U277" s="1118"/>
      <c r="V277" s="1118"/>
      <c r="W277" s="1118"/>
      <c r="X277" s="1118"/>
      <c r="Y277" s="1118"/>
      <c r="Z277" s="1118"/>
      <c r="AA277" s="1118"/>
      <c r="AB277" s="1118"/>
      <c r="AC277" s="1118"/>
      <c r="AD277" s="1118"/>
      <c r="AE277" s="1118"/>
      <c r="AF277" s="1118"/>
      <c r="AG277" s="1118"/>
      <c r="AH277" s="1118"/>
      <c r="AI277" s="1118"/>
      <c r="AJ277" s="1118"/>
      <c r="AK277" s="1118"/>
      <c r="AL277" s="1118"/>
      <c r="AM277" s="1118"/>
      <c r="AN277" s="1118"/>
      <c r="AO277" s="1118"/>
    </row>
    <row r="278" spans="1:41" ht="12.75" customHeight="1">
      <c r="A278" s="1113" t="s">
        <v>920</v>
      </c>
      <c r="B278" s="1114" t="s">
        <v>921</v>
      </c>
      <c r="C278" s="1115" t="s">
        <v>539</v>
      </c>
      <c r="D278" s="1122" t="e">
        <f t="shared" si="2"/>
        <v>#DIV/0!</v>
      </c>
      <c r="E278" s="1122"/>
      <c r="F278" s="1122"/>
      <c r="G278" s="1122"/>
      <c r="H278" s="1122"/>
      <c r="I278" s="1122"/>
      <c r="J278" s="1122"/>
      <c r="K278" s="1122"/>
      <c r="L278" s="1122"/>
      <c r="M278" s="1122"/>
      <c r="N278" s="1122"/>
      <c r="O278" s="1122"/>
      <c r="P278" s="1122"/>
      <c r="Q278" s="1122"/>
      <c r="R278" s="1122"/>
      <c r="S278" s="1122"/>
      <c r="T278" s="1122"/>
      <c r="U278" s="1122"/>
      <c r="V278" s="1122"/>
      <c r="W278" s="1122"/>
      <c r="X278" s="1122"/>
      <c r="Y278" s="1122"/>
      <c r="Z278" s="1122"/>
      <c r="AA278" s="1122"/>
      <c r="AB278" s="1122"/>
      <c r="AC278" s="1122"/>
      <c r="AD278" s="1122"/>
      <c r="AE278" s="1122"/>
      <c r="AF278" s="1122"/>
      <c r="AG278" s="1122"/>
      <c r="AH278" s="1122"/>
      <c r="AI278" s="1122"/>
      <c r="AJ278" s="1122"/>
      <c r="AK278" s="1122"/>
      <c r="AL278" s="1122"/>
      <c r="AM278" s="1122"/>
      <c r="AN278" s="1122"/>
      <c r="AO278" s="1122"/>
    </row>
    <row r="279" spans="1:41" ht="12.75" customHeight="1">
      <c r="A279" s="1113" t="s">
        <v>922</v>
      </c>
      <c r="B279" s="1114" t="s">
        <v>923</v>
      </c>
      <c r="C279" s="1056" t="s">
        <v>924</v>
      </c>
      <c r="D279" s="1118" t="e">
        <f t="shared" si="2"/>
        <v>#DIV/0!</v>
      </c>
      <c r="E279" s="1118"/>
      <c r="F279" s="1118"/>
      <c r="G279" s="1118"/>
      <c r="H279" s="1118"/>
      <c r="I279" s="1118"/>
      <c r="J279" s="1118"/>
      <c r="K279" s="1118"/>
      <c r="L279" s="1118"/>
      <c r="M279" s="1118"/>
      <c r="N279" s="1118"/>
      <c r="O279" s="1118"/>
      <c r="P279" s="1118"/>
      <c r="Q279" s="1118"/>
      <c r="R279" s="1118"/>
      <c r="S279" s="1118"/>
      <c r="T279" s="1118"/>
      <c r="U279" s="1118"/>
      <c r="V279" s="1118"/>
      <c r="W279" s="1118"/>
      <c r="X279" s="1118"/>
      <c r="Y279" s="1118"/>
      <c r="Z279" s="1118"/>
      <c r="AA279" s="1118"/>
      <c r="AB279" s="1118"/>
      <c r="AC279" s="1118"/>
      <c r="AD279" s="1118"/>
      <c r="AE279" s="1118"/>
      <c r="AF279" s="1118"/>
      <c r="AG279" s="1118"/>
      <c r="AH279" s="1118"/>
      <c r="AI279" s="1118"/>
      <c r="AJ279" s="1118"/>
      <c r="AK279" s="1118"/>
      <c r="AL279" s="1118"/>
      <c r="AM279" s="1118"/>
      <c r="AN279" s="1118"/>
      <c r="AO279" s="1118"/>
    </row>
    <row r="280" spans="1:41" ht="12.75" customHeight="1">
      <c r="A280" s="1113" t="s">
        <v>925</v>
      </c>
      <c r="B280" s="1114" t="s">
        <v>926</v>
      </c>
      <c r="C280" s="1115" t="s">
        <v>539</v>
      </c>
      <c r="D280" s="1122" t="e">
        <f t="shared" si="2"/>
        <v>#DIV/0!</v>
      </c>
      <c r="E280" s="1122"/>
      <c r="F280" s="1122"/>
      <c r="G280" s="1122"/>
      <c r="H280" s="1122"/>
      <c r="I280" s="1122"/>
      <c r="J280" s="1122"/>
      <c r="K280" s="1122"/>
      <c r="L280" s="1122"/>
      <c r="M280" s="1122"/>
      <c r="N280" s="1122"/>
      <c r="O280" s="1122"/>
      <c r="P280" s="1122"/>
      <c r="Q280" s="1122"/>
      <c r="R280" s="1122"/>
      <c r="S280" s="1122"/>
      <c r="T280" s="1122"/>
      <c r="U280" s="1122"/>
      <c r="V280" s="1122"/>
      <c r="W280" s="1122"/>
      <c r="X280" s="1122"/>
      <c r="Y280" s="1122"/>
      <c r="Z280" s="1122"/>
      <c r="AA280" s="1122"/>
      <c r="AB280" s="1122"/>
      <c r="AC280" s="1122"/>
      <c r="AD280" s="1122"/>
      <c r="AE280" s="1122"/>
      <c r="AF280" s="1122"/>
      <c r="AG280" s="1122"/>
      <c r="AH280" s="1122"/>
      <c r="AI280" s="1122"/>
      <c r="AJ280" s="1122"/>
      <c r="AK280" s="1122"/>
      <c r="AL280" s="1122"/>
      <c r="AM280" s="1122"/>
      <c r="AN280" s="1122"/>
      <c r="AO280" s="1122"/>
    </row>
    <row r="281" spans="1:41" ht="12.75" customHeight="1">
      <c r="A281" s="1055" t="s">
        <v>927</v>
      </c>
      <c r="B281" s="1060" t="s">
        <v>942</v>
      </c>
      <c r="C281" s="1056" t="s">
        <v>924</v>
      </c>
      <c r="D281" s="1118" t="e">
        <f t="shared" si="2"/>
        <v>#DIV/0!</v>
      </c>
      <c r="E281" s="1118"/>
      <c r="F281" s="1118"/>
      <c r="G281" s="1118"/>
      <c r="H281" s="1118"/>
      <c r="I281" s="1118"/>
      <c r="J281" s="1118"/>
      <c r="K281" s="1118"/>
      <c r="L281" s="1118"/>
      <c r="M281" s="1118"/>
      <c r="N281" s="1118"/>
      <c r="O281" s="1118"/>
      <c r="P281" s="1118"/>
      <c r="Q281" s="1118"/>
      <c r="R281" s="1118"/>
      <c r="S281" s="1118"/>
      <c r="T281" s="1118"/>
      <c r="U281" s="1118"/>
      <c r="V281" s="1118"/>
      <c r="W281" s="1118"/>
      <c r="X281" s="1118"/>
      <c r="Y281" s="1118"/>
      <c r="Z281" s="1118"/>
      <c r="AA281" s="1118"/>
      <c r="AB281" s="1118"/>
      <c r="AC281" s="1118"/>
      <c r="AD281" s="1118"/>
      <c r="AE281" s="1118"/>
      <c r="AF281" s="1118"/>
      <c r="AG281" s="1118"/>
      <c r="AH281" s="1118"/>
      <c r="AI281" s="1118"/>
      <c r="AJ281" s="1118"/>
      <c r="AK281" s="1118"/>
      <c r="AL281" s="1118"/>
      <c r="AM281" s="1118"/>
      <c r="AN281" s="1118"/>
      <c r="AO281" s="1118"/>
    </row>
    <row r="282" spans="1:41" ht="12.75" customHeight="1">
      <c r="A282" s="1055" t="s">
        <v>929</v>
      </c>
      <c r="B282" s="1060" t="s">
        <v>943</v>
      </c>
      <c r="C282" s="1056" t="s">
        <v>924</v>
      </c>
      <c r="D282" s="1118">
        <f t="shared" si="2"/>
        <v>0</v>
      </c>
      <c r="E282" s="1118"/>
      <c r="F282" s="1118"/>
      <c r="G282" s="1118"/>
      <c r="H282" s="1118"/>
      <c r="I282" s="1118"/>
      <c r="J282" s="1118"/>
      <c r="K282" s="1118"/>
      <c r="L282" s="1118"/>
      <c r="M282" s="1118"/>
      <c r="N282" s="1118"/>
      <c r="O282" s="1118"/>
      <c r="P282" s="1118"/>
      <c r="Q282" s="1118"/>
      <c r="R282" s="1118"/>
      <c r="S282" s="1118"/>
      <c r="T282" s="1118"/>
      <c r="U282" s="1118"/>
      <c r="V282" s="1118"/>
      <c r="W282" s="1118"/>
      <c r="X282" s="1118"/>
      <c r="Y282" s="1118"/>
      <c r="Z282" s="1118"/>
      <c r="AA282" s="1118"/>
      <c r="AB282" s="1118"/>
      <c r="AC282" s="1118"/>
      <c r="AD282" s="1118"/>
      <c r="AE282" s="1118"/>
      <c r="AF282" s="1118"/>
      <c r="AG282" s="1118"/>
      <c r="AH282" s="1118"/>
      <c r="AI282" s="1118"/>
      <c r="AJ282" s="1118"/>
      <c r="AK282" s="1118"/>
      <c r="AL282" s="1118"/>
      <c r="AM282" s="1118"/>
      <c r="AN282" s="1118"/>
      <c r="AO282" s="1118"/>
    </row>
    <row r="283" spans="1:41" ht="12.75" customHeight="1">
      <c r="A283" s="1055" t="s">
        <v>870</v>
      </c>
      <c r="B283" s="1060" t="s">
        <v>871</v>
      </c>
      <c r="C283" s="1056" t="s">
        <v>793</v>
      </c>
      <c r="D283" s="1118">
        <f>D187</f>
        <v>0</v>
      </c>
      <c r="E283" s="1118"/>
      <c r="F283" s="1118"/>
      <c r="G283" s="1118"/>
      <c r="H283" s="1118"/>
      <c r="I283" s="1118"/>
      <c r="J283" s="1118"/>
      <c r="K283" s="1118"/>
      <c r="L283" s="1118"/>
      <c r="M283" s="1118"/>
      <c r="N283" s="1118"/>
      <c r="O283" s="1118"/>
      <c r="P283" s="1118"/>
      <c r="Q283" s="1118"/>
      <c r="R283" s="1118"/>
      <c r="S283" s="1118"/>
      <c r="T283" s="1118"/>
      <c r="U283" s="1118"/>
      <c r="V283" s="1118"/>
      <c r="W283" s="1118"/>
      <c r="X283" s="1118"/>
      <c r="Y283" s="1118"/>
      <c r="Z283" s="1118"/>
      <c r="AA283" s="1118"/>
      <c r="AB283" s="1118"/>
      <c r="AC283" s="1118"/>
      <c r="AD283" s="1118"/>
      <c r="AE283" s="1118"/>
      <c r="AF283" s="1118"/>
      <c r="AG283" s="1118"/>
      <c r="AH283" s="1118"/>
      <c r="AI283" s="1118"/>
      <c r="AJ283" s="1118"/>
      <c r="AK283" s="1118"/>
      <c r="AL283" s="1118"/>
      <c r="AM283" s="1118"/>
      <c r="AN283" s="1118"/>
      <c r="AO283" s="1118"/>
    </row>
    <row r="284" spans="1:41" ht="12.75" customHeight="1">
      <c r="A284" s="1055" t="s">
        <v>115</v>
      </c>
      <c r="B284" s="1060" t="s">
        <v>944</v>
      </c>
      <c r="C284" s="1056" t="s">
        <v>778</v>
      </c>
      <c r="D284" s="1123">
        <f>D26</f>
      </c>
      <c r="E284" s="1123"/>
      <c r="F284" s="1123"/>
      <c r="G284" s="1123"/>
      <c r="H284" s="1123"/>
      <c r="I284" s="1123"/>
      <c r="J284" s="1123"/>
      <c r="K284" s="1123"/>
      <c r="L284" s="1123"/>
      <c r="M284" s="1123"/>
      <c r="N284" s="1123"/>
      <c r="O284" s="1123"/>
      <c r="P284" s="1123"/>
      <c r="Q284" s="1123"/>
      <c r="R284" s="1123"/>
      <c r="S284" s="1123"/>
      <c r="T284" s="1123"/>
      <c r="U284" s="1123"/>
      <c r="V284" s="1123"/>
      <c r="W284" s="1123"/>
      <c r="X284" s="1123"/>
      <c r="Y284" s="1123"/>
      <c r="Z284" s="1123"/>
      <c r="AA284" s="1123"/>
      <c r="AB284" s="1123"/>
      <c r="AC284" s="1123"/>
      <c r="AD284" s="1123"/>
      <c r="AE284" s="1123"/>
      <c r="AF284" s="1123"/>
      <c r="AG284" s="1123"/>
      <c r="AH284" s="1123"/>
      <c r="AI284" s="1123"/>
      <c r="AJ284" s="1123"/>
      <c r="AK284" s="1123"/>
      <c r="AL284" s="1123"/>
      <c r="AM284" s="1123"/>
      <c r="AN284" s="1123"/>
      <c r="AO284" s="1123"/>
    </row>
    <row r="285" spans="1:41" ht="12.75" customHeight="1">
      <c r="A285" s="1055" t="s">
        <v>118</v>
      </c>
      <c r="B285" s="1060" t="s">
        <v>945</v>
      </c>
      <c r="C285" s="1056" t="s">
        <v>778</v>
      </c>
      <c r="D285" s="1123">
        <f>D27</f>
      </c>
      <c r="E285" s="1123"/>
      <c r="F285" s="1123"/>
      <c r="G285" s="1123"/>
      <c r="H285" s="1123"/>
      <c r="I285" s="1123"/>
      <c r="J285" s="1123"/>
      <c r="K285" s="1123"/>
      <c r="L285" s="1123"/>
      <c r="M285" s="1123"/>
      <c r="N285" s="1123"/>
      <c r="O285" s="1123"/>
      <c r="P285" s="1123"/>
      <c r="Q285" s="1123"/>
      <c r="R285" s="1123"/>
      <c r="S285" s="1123"/>
      <c r="T285" s="1123"/>
      <c r="U285" s="1123"/>
      <c r="V285" s="1123"/>
      <c r="W285" s="1123"/>
      <c r="X285" s="1123"/>
      <c r="Y285" s="1123"/>
      <c r="Z285" s="1123"/>
      <c r="AA285" s="1123"/>
      <c r="AB285" s="1123"/>
      <c r="AC285" s="1123"/>
      <c r="AD285" s="1123"/>
      <c r="AE285" s="1123"/>
      <c r="AF285" s="1123"/>
      <c r="AG285" s="1123"/>
      <c r="AH285" s="1123"/>
      <c r="AI285" s="1123"/>
      <c r="AJ285" s="1123"/>
      <c r="AK285" s="1123"/>
      <c r="AL285" s="1123"/>
      <c r="AM285" s="1123"/>
      <c r="AN285" s="1123"/>
      <c r="AO285" s="1123"/>
    </row>
    <row r="286" spans="1:41" ht="12.75" customHeight="1">
      <c r="A286" s="1055" t="s">
        <v>858</v>
      </c>
      <c r="B286" s="1060" t="s">
        <v>859</v>
      </c>
      <c r="C286" s="1056" t="s">
        <v>778</v>
      </c>
      <c r="D286" s="1119" t="e">
        <f>D181</f>
        <v>#N/A</v>
      </c>
      <c r="E286" s="1119"/>
      <c r="F286" s="1119"/>
      <c r="G286" s="1119"/>
      <c r="H286" s="1119"/>
      <c r="I286" s="1119"/>
      <c r="J286" s="1119"/>
      <c r="K286" s="1119"/>
      <c r="L286" s="1119"/>
      <c r="M286" s="1119"/>
      <c r="N286" s="1119"/>
      <c r="O286" s="1119"/>
      <c r="P286" s="1119"/>
      <c r="Q286" s="1119"/>
      <c r="R286" s="1119"/>
      <c r="S286" s="1119"/>
      <c r="T286" s="1119"/>
      <c r="U286" s="1119"/>
      <c r="V286" s="1119"/>
      <c r="W286" s="1119"/>
      <c r="X286" s="1119"/>
      <c r="Y286" s="1119"/>
      <c r="Z286" s="1119"/>
      <c r="AA286" s="1119"/>
      <c r="AB286" s="1119"/>
      <c r="AC286" s="1119"/>
      <c r="AD286" s="1119"/>
      <c r="AE286" s="1119"/>
      <c r="AF286" s="1119"/>
      <c r="AG286" s="1119"/>
      <c r="AH286" s="1119"/>
      <c r="AI286" s="1119"/>
      <c r="AJ286" s="1119"/>
      <c r="AK286" s="1119"/>
      <c r="AL286" s="1119"/>
      <c r="AM286" s="1119"/>
      <c r="AN286" s="1119"/>
      <c r="AO286" s="1119"/>
    </row>
    <row r="287" spans="1:41" ht="12.75" customHeight="1">
      <c r="A287" s="1055" t="s">
        <v>862</v>
      </c>
      <c r="B287" s="1060" t="s">
        <v>863</v>
      </c>
      <c r="C287" s="1056" t="s">
        <v>108</v>
      </c>
      <c r="D287" s="1120" t="e">
        <f>D183</f>
        <v>#N/A</v>
      </c>
      <c r="E287" s="1120"/>
      <c r="F287" s="1120"/>
      <c r="G287" s="1120"/>
      <c r="H287" s="1120"/>
      <c r="I287" s="1120"/>
      <c r="J287" s="1120"/>
      <c r="K287" s="1120"/>
      <c r="L287" s="1120"/>
      <c r="M287" s="1120"/>
      <c r="N287" s="1120"/>
      <c r="O287" s="1120"/>
      <c r="P287" s="1120"/>
      <c r="Q287" s="1120"/>
      <c r="R287" s="1120"/>
      <c r="S287" s="1120"/>
      <c r="T287" s="1120"/>
      <c r="U287" s="1120"/>
      <c r="V287" s="1120"/>
      <c r="W287" s="1120"/>
      <c r="X287" s="1120"/>
      <c r="Y287" s="1120"/>
      <c r="Z287" s="1120"/>
      <c r="AA287" s="1120"/>
      <c r="AB287" s="1120"/>
      <c r="AC287" s="1120"/>
      <c r="AD287" s="1120"/>
      <c r="AE287" s="1120"/>
      <c r="AF287" s="1120"/>
      <c r="AG287" s="1120"/>
      <c r="AH287" s="1120"/>
      <c r="AI287" s="1120"/>
      <c r="AJ287" s="1120"/>
      <c r="AK287" s="1120"/>
      <c r="AL287" s="1120"/>
      <c r="AM287" s="1120"/>
      <c r="AN287" s="1120"/>
      <c r="AO287" s="1120"/>
    </row>
  </sheetData>
  <sheetProtection password="BF82" sheet="1" objects="1" scenarios="1" selectLockedCells="1"/>
  <mergeCells count="3">
    <mergeCell ref="A4:C4"/>
    <mergeCell ref="A5:C5"/>
    <mergeCell ref="A6:C6"/>
  </mergeCells>
  <printOptions/>
  <pageMargins left="0.39375" right="0.39375" top="0.39375" bottom="0.7875" header="0.5118055555555555" footer="0.39375"/>
  <pageSetup fitToHeight="0" fitToWidth="1" horizontalDpi="300" verticalDpi="300" orientation="portrait" paperSize="9"/>
  <headerFooter alignWithMargins="0">
    <oddFooter>&amp;C&amp;8&amp;F - Feuille &amp;A - page &amp;P / &amp;N</oddFooter>
  </headerFooter>
  <drawing r:id="rId1"/>
</worksheet>
</file>

<file path=xl/worksheets/sheet13.xml><?xml version="1.0" encoding="utf-8"?>
<worksheet xmlns="http://schemas.openxmlformats.org/spreadsheetml/2006/main" xmlns:r="http://schemas.openxmlformats.org/officeDocument/2006/relationships">
  <dimension ref="A1:IT74"/>
  <sheetViews>
    <sheetView zoomScalePageLayoutView="0" workbookViewId="0" topLeftCell="A4">
      <pane xSplit="1" ySplit="2" topLeftCell="J6" activePane="bottomRight" state="frozen"/>
      <selection pane="topLeft" activeCell="A4" sqref="A4"/>
      <selection pane="topRight" activeCell="B4" sqref="B4"/>
      <selection pane="bottomLeft" activeCell="A6" sqref="A6"/>
      <selection pane="bottomRight" activeCell="B5" sqref="B5:O74"/>
    </sheetView>
  </sheetViews>
  <sheetFormatPr defaultColWidth="11.421875" defaultRowHeight="15" customHeight="1"/>
  <cols>
    <col min="1" max="1" width="37.57421875" style="680" customWidth="1"/>
    <col min="2" max="8" width="13.57421875" style="680" customWidth="1"/>
    <col min="9" max="9" width="15.00390625" style="680" customWidth="1"/>
    <col min="10" max="10" width="14.7109375" style="680" customWidth="1"/>
    <col min="11" max="78" width="14.7109375" style="1124" customWidth="1"/>
    <col min="79" max="79" width="14.7109375" style="1125" customWidth="1"/>
    <col min="80" max="81" width="14.7109375" style="1124" customWidth="1"/>
    <col min="82" max="16384" width="11.421875" style="1126" customWidth="1"/>
  </cols>
  <sheetData>
    <row r="1" spans="1:82" ht="30" customHeight="1">
      <c r="A1" s="1127"/>
      <c r="B1" s="1127"/>
      <c r="C1" s="1127"/>
      <c r="D1" s="1127"/>
      <c r="E1" s="1127"/>
      <c r="F1" s="1127"/>
      <c r="G1" s="1127"/>
      <c r="H1" s="1127"/>
      <c r="I1" s="1127"/>
      <c r="J1" s="1127"/>
      <c r="CA1" s="1124"/>
      <c r="CB1" s="1125"/>
      <c r="CD1" s="1124"/>
    </row>
    <row r="2" spans="1:82" ht="45.75" customHeight="1">
      <c r="A2" s="1024" t="s">
        <v>946</v>
      </c>
      <c r="B2" s="1024"/>
      <c r="C2" s="1024"/>
      <c r="D2" s="1024"/>
      <c r="E2" s="1024"/>
      <c r="F2" s="1024"/>
      <c r="G2" s="1024"/>
      <c r="H2" s="1128"/>
      <c r="I2" s="1128"/>
      <c r="J2" s="1128"/>
      <c r="K2" s="1129"/>
      <c r="AL2" s="1027"/>
      <c r="AR2" s="1027"/>
      <c r="AS2" s="1027"/>
      <c r="AU2" s="1027"/>
      <c r="AV2" s="1027"/>
      <c r="AW2" s="1027"/>
      <c r="AX2" s="1027"/>
      <c r="AY2" s="1027"/>
      <c r="AZ2" s="1027"/>
      <c r="BA2" s="1027"/>
      <c r="BB2" s="1027"/>
      <c r="BC2" s="1027"/>
      <c r="BD2" s="1027"/>
      <c r="BE2" s="1027"/>
      <c r="BF2" s="1027"/>
      <c r="BG2" s="1027"/>
      <c r="BH2" s="1027"/>
      <c r="BI2" s="1027"/>
      <c r="BJ2" s="1027"/>
      <c r="BK2" s="1027"/>
      <c r="BL2" s="1027"/>
      <c r="BM2" s="1027"/>
      <c r="BN2" s="1027"/>
      <c r="BO2" s="1027"/>
      <c r="BP2" s="1027"/>
      <c r="BQ2" s="1027"/>
      <c r="BR2" s="1027"/>
      <c r="BS2" s="1027"/>
      <c r="BT2" s="1027"/>
      <c r="BU2" s="1027"/>
      <c r="BV2" s="1027"/>
      <c r="BW2" s="1027"/>
      <c r="BX2" s="1027"/>
      <c r="BY2" s="1027"/>
      <c r="BZ2" s="1027"/>
      <c r="CA2" s="1027"/>
      <c r="CB2" s="1130"/>
      <c r="CC2" s="1131"/>
      <c r="CD2" s="1131"/>
    </row>
    <row r="3" spans="8:82" ht="12" customHeight="1">
      <c r="H3" s="63"/>
      <c r="I3" s="63"/>
      <c r="J3" s="63"/>
      <c r="AL3" s="1029"/>
      <c r="AR3" s="1029"/>
      <c r="AS3" s="1029"/>
      <c r="AU3" s="1029"/>
      <c r="AV3" s="1029"/>
      <c r="AW3" s="1029"/>
      <c r="AX3" s="1029"/>
      <c r="AY3" s="1029"/>
      <c r="AZ3" s="1029"/>
      <c r="BA3" s="1029"/>
      <c r="BB3" s="1029"/>
      <c r="BC3" s="1029"/>
      <c r="BD3" s="1029"/>
      <c r="BE3" s="1029"/>
      <c r="BF3" s="1029"/>
      <c r="BG3" s="1029"/>
      <c r="BH3" s="1029"/>
      <c r="BI3" s="1029"/>
      <c r="BJ3" s="1029"/>
      <c r="BK3" s="1029"/>
      <c r="BL3" s="1029"/>
      <c r="BM3" s="1029"/>
      <c r="BN3" s="1029"/>
      <c r="BO3" s="1029"/>
      <c r="BP3" s="1029"/>
      <c r="BQ3" s="1029"/>
      <c r="BR3" s="1029"/>
      <c r="BS3" s="1029"/>
      <c r="BT3" s="1029"/>
      <c r="BU3" s="1029"/>
      <c r="BV3" s="1029"/>
      <c r="BW3" s="1029"/>
      <c r="BX3" s="1029"/>
      <c r="BY3" s="1029"/>
      <c r="BZ3" s="1029"/>
      <c r="CA3" s="1029"/>
      <c r="CB3" s="1132"/>
      <c r="CC3" s="1133"/>
      <c r="CD3" s="1133"/>
    </row>
    <row r="4" spans="8:82" ht="12" customHeight="1">
      <c r="H4" s="63"/>
      <c r="I4" s="63"/>
      <c r="J4" s="63"/>
      <c r="CA4" s="1124"/>
      <c r="CB4" s="1125"/>
      <c r="CD4" s="1124"/>
    </row>
    <row r="5" spans="1:82" s="1140" customFormat="1" ht="51" customHeight="1">
      <c r="A5" s="1134" t="s">
        <v>947</v>
      </c>
      <c r="B5" s="1135" t="s">
        <v>948</v>
      </c>
      <c r="C5" s="1135" t="s">
        <v>949</v>
      </c>
      <c r="D5" s="1135" t="s">
        <v>950</v>
      </c>
      <c r="E5" s="1135" t="s">
        <v>951</v>
      </c>
      <c r="F5" s="1135" t="s">
        <v>952</v>
      </c>
      <c r="G5" s="1135" t="s">
        <v>953</v>
      </c>
      <c r="H5" s="1135" t="s">
        <v>954</v>
      </c>
      <c r="I5" s="1135" t="s">
        <v>604</v>
      </c>
      <c r="J5" s="1135" t="s">
        <v>955</v>
      </c>
      <c r="K5" s="1135" t="s">
        <v>956</v>
      </c>
      <c r="L5" s="1136" t="s">
        <v>1263</v>
      </c>
      <c r="M5" s="1136" t="s">
        <v>1264</v>
      </c>
      <c r="N5" s="1136" t="s">
        <v>1265</v>
      </c>
      <c r="O5" s="1136" t="s">
        <v>1266</v>
      </c>
      <c r="P5" s="1136"/>
      <c r="Q5" s="1137"/>
      <c r="R5" s="1137"/>
      <c r="S5" s="1137"/>
      <c r="T5" s="1137"/>
      <c r="U5" s="1137"/>
      <c r="V5" s="1137"/>
      <c r="W5" s="1137"/>
      <c r="X5" s="1136"/>
      <c r="Y5" s="1136"/>
      <c r="Z5" s="1136"/>
      <c r="AA5" s="1137"/>
      <c r="AB5" s="1137"/>
      <c r="AC5" s="1137"/>
      <c r="AD5" s="1137"/>
      <c r="AE5" s="1137"/>
      <c r="AF5" s="1137"/>
      <c r="AG5" s="1137"/>
      <c r="AH5" s="1137"/>
      <c r="AI5" s="1137"/>
      <c r="AJ5" s="1137"/>
      <c r="AK5" s="1137"/>
      <c r="AL5" s="1137"/>
      <c r="AM5" s="1137"/>
      <c r="AN5" s="1137"/>
      <c r="AO5" s="1137"/>
      <c r="AP5" s="1137"/>
      <c r="AQ5" s="1137"/>
      <c r="AR5" s="1137"/>
      <c r="AS5" s="1137"/>
      <c r="AT5" s="1137"/>
      <c r="AU5" s="1137"/>
      <c r="AV5" s="1137"/>
      <c r="AW5" s="1137"/>
      <c r="AX5" s="1137"/>
      <c r="AY5" s="1137"/>
      <c r="AZ5" s="1137"/>
      <c r="BA5" s="1137"/>
      <c r="BB5" s="1137"/>
      <c r="BC5" s="1137"/>
      <c r="BD5" s="1137"/>
      <c r="BE5" s="1137"/>
      <c r="BF5" s="1137"/>
      <c r="BG5" s="1138"/>
      <c r="BH5" s="1138"/>
      <c r="BI5" s="1138"/>
      <c r="BJ5" s="1138"/>
      <c r="BK5" s="1138"/>
      <c r="BL5" s="1138"/>
      <c r="BM5" s="1138"/>
      <c r="BN5" s="1138"/>
      <c r="BO5" s="1138"/>
      <c r="BP5" s="1138"/>
      <c r="BQ5" s="1138"/>
      <c r="BR5" s="1138"/>
      <c r="BS5" s="1138"/>
      <c r="BT5" s="1138"/>
      <c r="BU5" s="1138"/>
      <c r="BV5" s="1138"/>
      <c r="BW5" s="1138"/>
      <c r="BX5" s="1138"/>
      <c r="BY5" s="1138"/>
      <c r="BZ5" s="1138"/>
      <c r="CA5" s="1138"/>
      <c r="CB5" s="1139"/>
      <c r="CC5" s="1139"/>
      <c r="CD5" s="1139"/>
    </row>
    <row r="6" spans="1:82" s="1146" customFormat="1" ht="12.75" customHeight="1">
      <c r="A6" s="648" t="s">
        <v>103</v>
      </c>
      <c r="B6" s="1141">
        <v>2013</v>
      </c>
      <c r="C6" s="1141">
        <v>2014</v>
      </c>
      <c r="D6" s="1141">
        <v>2103</v>
      </c>
      <c r="E6" s="1141">
        <v>2014</v>
      </c>
      <c r="F6" s="1141">
        <v>2013</v>
      </c>
      <c r="G6" s="1141">
        <v>2014</v>
      </c>
      <c r="H6" s="1141">
        <v>2014</v>
      </c>
      <c r="I6" s="1141">
        <v>2014</v>
      </c>
      <c r="J6" s="1141">
        <v>2014</v>
      </c>
      <c r="K6" s="1141">
        <v>2014</v>
      </c>
      <c r="L6" s="1142" t="s">
        <v>1261</v>
      </c>
      <c r="M6" s="1142" t="s">
        <v>1261</v>
      </c>
      <c r="N6" s="1142" t="s">
        <v>1261</v>
      </c>
      <c r="O6" s="1142" t="s">
        <v>1261</v>
      </c>
      <c r="P6" s="1142"/>
      <c r="Q6" s="1142"/>
      <c r="R6" s="1142"/>
      <c r="S6" s="1143"/>
      <c r="T6" s="1143"/>
      <c r="U6" s="1143"/>
      <c r="V6" s="1143"/>
      <c r="W6" s="1143"/>
      <c r="X6" s="1143"/>
      <c r="Y6" s="1143"/>
      <c r="Z6" s="1143"/>
      <c r="AA6" s="1143"/>
      <c r="AB6" s="1143"/>
      <c r="AC6" s="1143"/>
      <c r="AD6" s="1143"/>
      <c r="AE6" s="1143"/>
      <c r="AF6" s="1143"/>
      <c r="AG6" s="1143"/>
      <c r="AH6" s="1143"/>
      <c r="AI6" s="1143"/>
      <c r="AJ6" s="1143"/>
      <c r="AK6" s="1143"/>
      <c r="AL6" s="1143"/>
      <c r="AM6" s="1143"/>
      <c r="AN6" s="1143"/>
      <c r="AO6" s="1143"/>
      <c r="AP6" s="1143"/>
      <c r="AQ6" s="1143"/>
      <c r="AR6" s="1143"/>
      <c r="AS6" s="1143"/>
      <c r="AT6" s="1143"/>
      <c r="AU6" s="1143"/>
      <c r="AV6" s="1143"/>
      <c r="AW6" s="1143"/>
      <c r="AX6" s="1143"/>
      <c r="AY6" s="1143"/>
      <c r="AZ6" s="1143"/>
      <c r="BA6" s="1143"/>
      <c r="BB6" s="1143"/>
      <c r="BC6" s="1143"/>
      <c r="BD6" s="1143"/>
      <c r="BE6" s="1143"/>
      <c r="BF6" s="1143"/>
      <c r="BG6" s="1144"/>
      <c r="BH6" s="1144"/>
      <c r="BI6" s="1144"/>
      <c r="BJ6" s="1144"/>
      <c r="BK6" s="1144"/>
      <c r="BL6" s="1144"/>
      <c r="BM6" s="1144"/>
      <c r="BN6" s="1144"/>
      <c r="BO6" s="1144"/>
      <c r="BP6" s="1144"/>
      <c r="BQ6" s="1144"/>
      <c r="BR6" s="1144"/>
      <c r="BS6" s="1144"/>
      <c r="BT6" s="1144"/>
      <c r="BU6" s="1144"/>
      <c r="BV6" s="1144"/>
      <c r="BW6" s="1144"/>
      <c r="BX6" s="1144"/>
      <c r="BY6" s="1144"/>
      <c r="BZ6" s="1144"/>
      <c r="CA6" s="1144"/>
      <c r="CB6" s="1145"/>
      <c r="CC6" s="1041"/>
      <c r="CD6" s="1041"/>
    </row>
    <row r="7" spans="1:82" s="1140" customFormat="1" ht="12.75" customHeight="1">
      <c r="A7" s="871" t="s">
        <v>957</v>
      </c>
      <c r="B7" s="1147" t="s">
        <v>958</v>
      </c>
      <c r="C7" s="1147" t="s">
        <v>959</v>
      </c>
      <c r="D7" s="1147" t="s">
        <v>958</v>
      </c>
      <c r="E7" s="1147" t="s">
        <v>960</v>
      </c>
      <c r="F7" s="1147" t="s">
        <v>958</v>
      </c>
      <c r="G7" s="1147" t="s">
        <v>960</v>
      </c>
      <c r="H7" s="1147" t="s">
        <v>961</v>
      </c>
      <c r="I7" s="1147" t="s">
        <v>961</v>
      </c>
      <c r="J7" s="1147" t="s">
        <v>961</v>
      </c>
      <c r="K7" s="1147" t="s">
        <v>961</v>
      </c>
      <c r="L7" s="1147" t="s">
        <v>961</v>
      </c>
      <c r="M7" s="1147" t="s">
        <v>961</v>
      </c>
      <c r="N7" s="1147" t="s">
        <v>961</v>
      </c>
      <c r="O7" s="1147" t="s">
        <v>961</v>
      </c>
      <c r="P7" s="1148"/>
      <c r="Q7" s="1148"/>
      <c r="R7" s="1148"/>
      <c r="S7" s="1149"/>
      <c r="T7" s="1149"/>
      <c r="U7" s="1149"/>
      <c r="V7" s="1149"/>
      <c r="W7" s="1149"/>
      <c r="X7" s="1149"/>
      <c r="Y7" s="1149"/>
      <c r="Z7" s="1149"/>
      <c r="AA7" s="1149"/>
      <c r="AB7" s="1149"/>
      <c r="AC7" s="1149"/>
      <c r="AD7" s="1149"/>
      <c r="AE7" s="1149"/>
      <c r="AF7" s="1149"/>
      <c r="AG7" s="1149"/>
      <c r="AH7" s="1149"/>
      <c r="AI7" s="1149"/>
      <c r="AJ7" s="1149"/>
      <c r="AK7" s="1149"/>
      <c r="AL7" s="1149"/>
      <c r="AM7" s="1149"/>
      <c r="AN7" s="1149"/>
      <c r="AO7" s="1149"/>
      <c r="AP7" s="1149"/>
      <c r="AQ7" s="1149"/>
      <c r="AR7" s="1149"/>
      <c r="AS7" s="1149"/>
      <c r="AT7" s="1149"/>
      <c r="AU7" s="1149"/>
      <c r="AV7" s="1149"/>
      <c r="AW7" s="1149"/>
      <c r="AX7" s="1149"/>
      <c r="AY7" s="1149"/>
      <c r="AZ7" s="1149"/>
      <c r="BA7" s="1149"/>
      <c r="BB7" s="1149"/>
      <c r="BC7" s="1149"/>
      <c r="BD7" s="1149"/>
      <c r="BE7" s="1149"/>
      <c r="BF7" s="1149"/>
      <c r="BG7" s="1150"/>
      <c r="BH7" s="1150"/>
      <c r="BI7" s="1150"/>
      <c r="BJ7" s="1150"/>
      <c r="BK7" s="1150"/>
      <c r="BL7" s="1150"/>
      <c r="BM7" s="1150"/>
      <c r="BN7" s="1150"/>
      <c r="BO7" s="1150"/>
      <c r="BP7" s="1150"/>
      <c r="BQ7" s="1150"/>
      <c r="BR7" s="1150"/>
      <c r="BS7" s="1150"/>
      <c r="BT7" s="1150"/>
      <c r="BU7" s="1150"/>
      <c r="BV7" s="1150"/>
      <c r="BW7" s="1150"/>
      <c r="BX7" s="1150"/>
      <c r="BY7" s="1150"/>
      <c r="BZ7" s="1150"/>
      <c r="CA7" s="1150"/>
      <c r="CB7" s="1151"/>
      <c r="CC7" s="1151"/>
      <c r="CD7" s="1151"/>
    </row>
    <row r="8" spans="1:254" s="1156" customFormat="1" ht="12.75" customHeight="1">
      <c r="A8" s="1152" t="s">
        <v>962</v>
      </c>
      <c r="B8" s="1153">
        <f aca="true" t="shared" si="0" ref="B8:M8">B9+B37+B40</f>
        <v>2306.5721249999997</v>
      </c>
      <c r="C8" s="1153">
        <f t="shared" si="0"/>
        <v>2291.731804525</v>
      </c>
      <c r="D8" s="1153">
        <f t="shared" si="0"/>
        <v>1371.6172000000001</v>
      </c>
      <c r="E8" s="1153">
        <f t="shared" si="0"/>
        <v>1359.12751944</v>
      </c>
      <c r="F8" s="1153">
        <f t="shared" si="0"/>
        <v>1094.0507142857143</v>
      </c>
      <c r="G8" s="1153">
        <f t="shared" si="0"/>
        <v>1083.4846856</v>
      </c>
      <c r="H8" s="1153">
        <f t="shared" si="0"/>
        <v>2035.001</v>
      </c>
      <c r="I8" s="1153">
        <f t="shared" si="0"/>
        <v>777.307</v>
      </c>
      <c r="J8" s="1153">
        <f t="shared" si="0"/>
        <v>698.81</v>
      </c>
      <c r="K8" s="1153">
        <f t="shared" si="0"/>
        <v>695.1890000000001</v>
      </c>
      <c r="L8" s="1153">
        <f t="shared" si="0"/>
        <v>921.73783576307</v>
      </c>
      <c r="M8" s="1153">
        <f t="shared" si="0"/>
        <v>2387.6992857142855</v>
      </c>
      <c r="N8" s="1153">
        <f>N9+N37+N40</f>
        <v>928.4043250816505</v>
      </c>
      <c r="O8" s="1153">
        <f>O9+O37+O40</f>
        <v>2922.4387301587267</v>
      </c>
      <c r="P8" s="1154"/>
      <c r="Q8" s="1154"/>
      <c r="R8" s="1154"/>
      <c r="S8" s="1154"/>
      <c r="T8" s="1154"/>
      <c r="U8" s="1154"/>
      <c r="V8" s="1154"/>
      <c r="W8" s="1154"/>
      <c r="X8" s="1154"/>
      <c r="Y8" s="1154"/>
      <c r="Z8" s="1154"/>
      <c r="AA8" s="1154"/>
      <c r="AB8" s="1154"/>
      <c r="AC8" s="1154"/>
      <c r="AD8" s="1154"/>
      <c r="AE8" s="1154"/>
      <c r="AF8" s="1154"/>
      <c r="AG8" s="1154"/>
      <c r="AH8" s="1154"/>
      <c r="AI8" s="1154"/>
      <c r="AJ8" s="1154"/>
      <c r="AK8" s="1154"/>
      <c r="AL8" s="1154"/>
      <c r="AM8" s="1154"/>
      <c r="AN8" s="1154"/>
      <c r="AO8" s="1154"/>
      <c r="AP8" s="1154"/>
      <c r="AQ8" s="1154"/>
      <c r="AR8" s="1154"/>
      <c r="AS8" s="1154"/>
      <c r="AT8" s="1154"/>
      <c r="AU8" s="1154"/>
      <c r="AV8" s="1154"/>
      <c r="AW8" s="1154"/>
      <c r="AX8" s="1154"/>
      <c r="AY8" s="1154"/>
      <c r="AZ8" s="1154"/>
      <c r="BA8" s="1154"/>
      <c r="BB8" s="1154"/>
      <c r="BC8" s="1154"/>
      <c r="BD8" s="1154"/>
      <c r="BE8" s="1154"/>
      <c r="BF8" s="1154"/>
      <c r="BG8" s="1154"/>
      <c r="BH8" s="1154"/>
      <c r="BI8" s="1154"/>
      <c r="BJ8" s="1154"/>
      <c r="BK8" s="1154"/>
      <c r="BL8" s="1154"/>
      <c r="BM8" s="1154"/>
      <c r="BN8" s="1154"/>
      <c r="BO8" s="1154"/>
      <c r="BP8" s="1154"/>
      <c r="BQ8" s="1154"/>
      <c r="BR8" s="1154"/>
      <c r="BS8" s="1154"/>
      <c r="BT8" s="1154"/>
      <c r="BU8" s="1154"/>
      <c r="BV8" s="1154"/>
      <c r="BW8" s="1154"/>
      <c r="BX8" s="1154"/>
      <c r="BY8" s="1154"/>
      <c r="BZ8" s="1154"/>
      <c r="CA8" s="1154"/>
      <c r="CB8" s="1155"/>
      <c r="CC8" s="1155"/>
      <c r="CE8" s="1157"/>
      <c r="CH8" s="1157"/>
      <c r="CK8" s="1157"/>
      <c r="CN8" s="1157"/>
      <c r="CQ8" s="1157"/>
      <c r="CT8" s="1157"/>
      <c r="CW8" s="1157"/>
      <c r="CZ8" s="1157"/>
      <c r="DC8" s="1157"/>
      <c r="DF8" s="1157"/>
      <c r="DI8" s="1157"/>
      <c r="DL8" s="1157"/>
      <c r="DO8" s="1157"/>
      <c r="DR8" s="1157"/>
      <c r="DU8" s="1157"/>
      <c r="DX8" s="1157"/>
      <c r="EA8" s="1157"/>
      <c r="ED8" s="1157"/>
      <c r="EG8" s="1157"/>
      <c r="EJ8" s="1157"/>
      <c r="EM8" s="1157"/>
      <c r="EP8" s="1157"/>
      <c r="ES8" s="1157"/>
      <c r="EV8" s="1157"/>
      <c r="EY8" s="1157"/>
      <c r="FB8" s="1157"/>
      <c r="FE8" s="1157"/>
      <c r="FH8" s="1157"/>
      <c r="FK8" s="1157"/>
      <c r="FN8" s="1157"/>
      <c r="FQ8" s="1157"/>
      <c r="FT8" s="1157"/>
      <c r="FW8" s="1157"/>
      <c r="FZ8" s="1157"/>
      <c r="GC8" s="1157"/>
      <c r="GF8" s="1157"/>
      <c r="GI8" s="1157"/>
      <c r="GL8" s="1157"/>
      <c r="GO8" s="1157"/>
      <c r="GR8" s="1157"/>
      <c r="GU8" s="1157"/>
      <c r="GX8" s="1157"/>
      <c r="HA8" s="1157"/>
      <c r="HD8" s="1157"/>
      <c r="HG8" s="1157"/>
      <c r="HJ8" s="1157"/>
      <c r="HM8" s="1157"/>
      <c r="HP8" s="1157"/>
      <c r="HS8" s="1157"/>
      <c r="HV8" s="1157"/>
      <c r="HY8" s="1157"/>
      <c r="IB8" s="1157"/>
      <c r="IE8" s="1157"/>
      <c r="IH8" s="1157"/>
      <c r="IK8" s="1157"/>
      <c r="IN8" s="1157"/>
      <c r="IQ8" s="1146"/>
      <c r="IR8" s="1146"/>
      <c r="IS8" s="1146"/>
      <c r="IT8" s="1146"/>
    </row>
    <row r="9" spans="1:82" s="1146" customFormat="1" ht="12.75" customHeight="1">
      <c r="A9" s="1158" t="s">
        <v>795</v>
      </c>
      <c r="B9" s="1159">
        <f aca="true" t="shared" si="1" ref="B9:M9">B10+B13+B17+B20+B23+B28+B32</f>
        <v>1002.0976249999999</v>
      </c>
      <c r="C9" s="1159">
        <f t="shared" si="1"/>
        <v>996.092527275</v>
      </c>
      <c r="D9" s="1159">
        <f t="shared" si="1"/>
        <v>639.2774</v>
      </c>
      <c r="E9" s="1159">
        <f t="shared" si="1"/>
        <v>631.27409012</v>
      </c>
      <c r="F9" s="1159">
        <f t="shared" si="1"/>
        <v>597.1071428571429</v>
      </c>
      <c r="G9" s="1159">
        <f t="shared" si="1"/>
        <v>589.6796081142857</v>
      </c>
      <c r="H9" s="1159">
        <f t="shared" si="1"/>
        <v>774.789</v>
      </c>
      <c r="I9" s="1159">
        <f t="shared" si="1"/>
        <v>455.901</v>
      </c>
      <c r="J9" s="1159">
        <f t="shared" si="1"/>
        <v>431.661</v>
      </c>
      <c r="K9" s="1159">
        <f t="shared" si="1"/>
        <v>428.04</v>
      </c>
      <c r="L9" s="1159">
        <f t="shared" si="1"/>
        <v>505.73783576307005</v>
      </c>
      <c r="M9" s="1159">
        <f t="shared" si="1"/>
        <v>912.1992857142857</v>
      </c>
      <c r="N9" s="1159">
        <f>N10+N13+N17+N20+N23+N28+N32</f>
        <v>498.2553616600202</v>
      </c>
      <c r="O9" s="1159">
        <f>O10+O13+O17+O20+O23+O28+O32</f>
        <v>1423.742857142857</v>
      </c>
      <c r="P9" s="1160"/>
      <c r="Q9" s="1160"/>
      <c r="R9" s="1160"/>
      <c r="S9" s="1160"/>
      <c r="T9" s="1160"/>
      <c r="U9" s="1160"/>
      <c r="V9" s="1160"/>
      <c r="W9" s="1160"/>
      <c r="X9" s="1160"/>
      <c r="Y9" s="1160"/>
      <c r="Z9" s="1160"/>
      <c r="AA9" s="1160"/>
      <c r="AB9" s="1160"/>
      <c r="AC9" s="1160"/>
      <c r="AD9" s="1160"/>
      <c r="AE9" s="1160"/>
      <c r="AF9" s="1160"/>
      <c r="AG9" s="1160"/>
      <c r="AH9" s="1160"/>
      <c r="AI9" s="1160"/>
      <c r="AJ9" s="1160"/>
      <c r="AK9" s="1160"/>
      <c r="AL9" s="1160"/>
      <c r="AM9" s="1160"/>
      <c r="AN9" s="1160"/>
      <c r="AO9" s="1160"/>
      <c r="AP9" s="1160"/>
      <c r="AQ9" s="1160"/>
      <c r="AR9" s="1160"/>
      <c r="AS9" s="1160"/>
      <c r="AT9" s="1160"/>
      <c r="AU9" s="1160"/>
      <c r="AV9" s="1160"/>
      <c r="AW9" s="1160"/>
      <c r="AX9" s="1160"/>
      <c r="AY9" s="1160"/>
      <c r="AZ9" s="1160"/>
      <c r="BA9" s="1160"/>
      <c r="BB9" s="1160"/>
      <c r="BC9" s="1160"/>
      <c r="BD9" s="1160"/>
      <c r="BE9" s="1160"/>
      <c r="BF9" s="1160"/>
      <c r="BG9" s="1160"/>
      <c r="BH9" s="1160"/>
      <c r="BI9" s="1160"/>
      <c r="BJ9" s="1160"/>
      <c r="BK9" s="1160"/>
      <c r="BL9" s="1160"/>
      <c r="BM9" s="1160"/>
      <c r="BN9" s="1160"/>
      <c r="BO9" s="1160"/>
      <c r="BP9" s="1160"/>
      <c r="BQ9" s="1160"/>
      <c r="BR9" s="1160"/>
      <c r="BS9" s="1160"/>
      <c r="BT9" s="1160"/>
      <c r="BU9" s="1160"/>
      <c r="BV9" s="1160"/>
      <c r="BW9" s="1160"/>
      <c r="BX9" s="1160"/>
      <c r="BY9" s="1160"/>
      <c r="BZ9" s="1160"/>
      <c r="CA9" s="1160"/>
      <c r="CB9" s="1155"/>
      <c r="CC9" s="1155"/>
      <c r="CD9" s="1155"/>
    </row>
    <row r="10" spans="1:82" s="1164" customFormat="1" ht="12.75" customHeight="1">
      <c r="A10" s="1161" t="s">
        <v>963</v>
      </c>
      <c r="B10" s="1162">
        <f aca="true" t="shared" si="2" ref="B10:N10">B11+B12</f>
        <v>210.549125</v>
      </c>
      <c r="C10" s="1162">
        <f t="shared" si="2"/>
        <v>202.948191875</v>
      </c>
      <c r="D10" s="1162">
        <f t="shared" si="2"/>
        <v>183.56279999999998</v>
      </c>
      <c r="E10" s="1162">
        <f t="shared" si="2"/>
        <v>175.72491599999998</v>
      </c>
      <c r="F10" s="1162">
        <f t="shared" si="2"/>
        <v>201.5408571428572</v>
      </c>
      <c r="G10" s="1162">
        <f t="shared" si="2"/>
        <v>193.1807892857143</v>
      </c>
      <c r="H10" s="1162">
        <f t="shared" si="2"/>
        <v>117.577</v>
      </c>
      <c r="I10" s="1162">
        <f t="shared" si="2"/>
        <v>104.274</v>
      </c>
      <c r="J10" s="1162">
        <f t="shared" si="2"/>
        <v>104.726</v>
      </c>
      <c r="K10" s="1162">
        <f t="shared" si="2"/>
        <v>101.105</v>
      </c>
      <c r="L10" s="1162">
        <f t="shared" si="2"/>
        <v>118.56700892857144</v>
      </c>
      <c r="M10" s="1162">
        <f t="shared" si="2"/>
        <v>108.9707142857143</v>
      </c>
      <c r="N10" s="1162">
        <f t="shared" si="2"/>
        <v>112.48298319327729</v>
      </c>
      <c r="O10" s="1162">
        <f>O11+O12</f>
        <v>337.1714285714286</v>
      </c>
      <c r="P10" s="1163"/>
      <c r="Q10" s="1163"/>
      <c r="R10" s="1163"/>
      <c r="S10" s="1163"/>
      <c r="T10" s="1163"/>
      <c r="U10" s="1163"/>
      <c r="V10" s="1163"/>
      <c r="W10" s="1163"/>
      <c r="X10" s="1163"/>
      <c r="Y10" s="1163"/>
      <c r="Z10" s="1163"/>
      <c r="AA10" s="1163"/>
      <c r="AB10" s="1163"/>
      <c r="AC10" s="1163"/>
      <c r="AD10" s="1163"/>
      <c r="AE10" s="1163"/>
      <c r="AF10" s="1163"/>
      <c r="AG10" s="1163"/>
      <c r="AH10" s="1163"/>
      <c r="AI10" s="1163"/>
      <c r="AJ10" s="1163"/>
      <c r="AK10" s="1163"/>
      <c r="AL10" s="1163"/>
      <c r="AM10" s="1163"/>
      <c r="AN10" s="1163"/>
      <c r="AO10" s="1163"/>
      <c r="AP10" s="1163"/>
      <c r="AQ10" s="1163"/>
      <c r="AR10" s="1163"/>
      <c r="AS10" s="1163"/>
      <c r="AT10" s="1163"/>
      <c r="AU10" s="1163"/>
      <c r="AV10" s="1163"/>
      <c r="AW10" s="1163"/>
      <c r="AX10" s="1163"/>
      <c r="AY10" s="1163"/>
      <c r="AZ10" s="1163"/>
      <c r="BA10" s="1163"/>
      <c r="BB10" s="1163"/>
      <c r="BC10" s="1163"/>
      <c r="BD10" s="1163"/>
      <c r="BE10" s="1163"/>
      <c r="BF10" s="1163"/>
      <c r="BG10" s="1163"/>
      <c r="BH10" s="1163"/>
      <c r="BI10" s="1163"/>
      <c r="BJ10" s="1163"/>
      <c r="BK10" s="1163"/>
      <c r="BL10" s="1163"/>
      <c r="BM10" s="1163"/>
      <c r="BN10" s="1163"/>
      <c r="BO10" s="1163"/>
      <c r="BP10" s="1163"/>
      <c r="BQ10" s="1163"/>
      <c r="BR10" s="1163"/>
      <c r="BS10" s="1163"/>
      <c r="BT10" s="1163"/>
      <c r="BU10" s="1163"/>
      <c r="BV10" s="1163"/>
      <c r="BW10" s="1163"/>
      <c r="BX10" s="1163"/>
      <c r="BY10" s="1163"/>
      <c r="BZ10" s="1163"/>
      <c r="CA10" s="1163"/>
      <c r="CB10" s="1155"/>
      <c r="CC10" s="1155"/>
      <c r="CD10" s="1155"/>
    </row>
    <row r="11" spans="1:82" s="1146" customFormat="1" ht="12.75" customHeight="1">
      <c r="A11" s="648" t="s">
        <v>613</v>
      </c>
      <c r="B11" s="1165">
        <v>168.909625</v>
      </c>
      <c r="C11" s="1165">
        <f>B11*0.955</f>
        <v>161.308691875</v>
      </c>
      <c r="D11" s="1165">
        <v>174.1752</v>
      </c>
      <c r="E11" s="1165">
        <f>D11*0.955</f>
        <v>166.337316</v>
      </c>
      <c r="F11" s="1165">
        <v>185.77928571428575</v>
      </c>
      <c r="G11" s="1165">
        <f>F11*0.955</f>
        <v>177.41921785714288</v>
      </c>
      <c r="H11" s="1166">
        <v>117.577</v>
      </c>
      <c r="I11" s="1166">
        <v>104.274</v>
      </c>
      <c r="J11" s="1166">
        <v>104.726</v>
      </c>
      <c r="K11" s="1166">
        <v>101.105</v>
      </c>
      <c r="L11" s="1167">
        <v>118.56700892857144</v>
      </c>
      <c r="M11" s="1167">
        <v>108.9707142857143</v>
      </c>
      <c r="N11" s="1167">
        <v>112.48298319327729</v>
      </c>
      <c r="O11" s="1167">
        <v>171.4857142857143</v>
      </c>
      <c r="P11" s="1167"/>
      <c r="Q11" s="1167"/>
      <c r="R11" s="1167"/>
      <c r="S11" s="1167"/>
      <c r="T11" s="1167"/>
      <c r="U11" s="1167"/>
      <c r="V11" s="1167"/>
      <c r="W11" s="1167"/>
      <c r="X11" s="1167"/>
      <c r="Y11" s="1167"/>
      <c r="Z11" s="1167"/>
      <c r="AA11" s="1167"/>
      <c r="AB11" s="1167"/>
      <c r="AC11" s="1167"/>
      <c r="AD11" s="1167"/>
      <c r="AE11" s="1167"/>
      <c r="AF11" s="1167"/>
      <c r="AG11" s="1167"/>
      <c r="AH11" s="1167"/>
      <c r="AI11" s="1167"/>
      <c r="AJ11" s="1167"/>
      <c r="AK11" s="1167"/>
      <c r="AL11" s="1167"/>
      <c r="AM11" s="1167"/>
      <c r="AN11" s="1167"/>
      <c r="AO11" s="1167"/>
      <c r="AP11" s="1167"/>
      <c r="AQ11" s="1167"/>
      <c r="AR11" s="1167"/>
      <c r="AS11" s="1167"/>
      <c r="AT11" s="1167"/>
      <c r="AU11" s="1167"/>
      <c r="AV11" s="1167"/>
      <c r="AW11" s="1167"/>
      <c r="AX11" s="1167"/>
      <c r="AY11" s="1167"/>
      <c r="AZ11" s="1167"/>
      <c r="BA11" s="1167"/>
      <c r="BB11" s="1167"/>
      <c r="BC11" s="1167"/>
      <c r="BD11" s="1167"/>
      <c r="BE11" s="1167"/>
      <c r="BF11" s="1167"/>
      <c r="BG11" s="1167"/>
      <c r="BH11" s="1167"/>
      <c r="BI11" s="1167"/>
      <c r="BJ11" s="1167"/>
      <c r="BK11" s="1167"/>
      <c r="BL11" s="1167"/>
      <c r="BM11" s="1167"/>
      <c r="BN11" s="1167"/>
      <c r="BO11" s="1167"/>
      <c r="BP11" s="1167"/>
      <c r="BQ11" s="1167"/>
      <c r="BR11" s="1167"/>
      <c r="BS11" s="1167"/>
      <c r="BT11" s="1167"/>
      <c r="BU11" s="1167"/>
      <c r="BV11" s="1167"/>
      <c r="BW11" s="1167"/>
      <c r="BX11" s="1167"/>
      <c r="BY11" s="1167"/>
      <c r="BZ11" s="1167"/>
      <c r="CA11" s="1167"/>
      <c r="CB11" s="1155"/>
      <c r="CC11" s="1155"/>
      <c r="CD11" s="1155"/>
    </row>
    <row r="12" spans="1:82" s="1146" customFormat="1" ht="12.75" customHeight="1">
      <c r="A12" s="648" t="s">
        <v>230</v>
      </c>
      <c r="B12" s="1165">
        <v>41.6395</v>
      </c>
      <c r="C12" s="1165">
        <f>B12</f>
        <v>41.6395</v>
      </c>
      <c r="D12" s="1165">
        <v>9.3876</v>
      </c>
      <c r="E12" s="1165">
        <f>D12</f>
        <v>9.3876</v>
      </c>
      <c r="F12" s="1165">
        <v>15.761571428571429</v>
      </c>
      <c r="G12" s="1165">
        <f>F12</f>
        <v>15.761571428571429</v>
      </c>
      <c r="H12" s="1166">
        <v>0</v>
      </c>
      <c r="I12" s="1166">
        <v>0</v>
      </c>
      <c r="J12" s="1166">
        <v>0</v>
      </c>
      <c r="K12" s="1166">
        <v>0</v>
      </c>
      <c r="L12" s="1167">
        <v>0</v>
      </c>
      <c r="M12" s="1167">
        <v>0</v>
      </c>
      <c r="N12" s="1167">
        <v>0</v>
      </c>
      <c r="O12" s="1167">
        <v>165.68571428571428</v>
      </c>
      <c r="P12" s="1167"/>
      <c r="Q12" s="1167"/>
      <c r="R12" s="1167"/>
      <c r="S12" s="1167"/>
      <c r="T12" s="1167"/>
      <c r="U12" s="1167"/>
      <c r="V12" s="1167"/>
      <c r="W12" s="1167"/>
      <c r="X12" s="1167"/>
      <c r="Y12" s="1167"/>
      <c r="Z12" s="1167"/>
      <c r="AA12" s="1167"/>
      <c r="AB12" s="1167"/>
      <c r="AC12" s="1167"/>
      <c r="AD12" s="1167"/>
      <c r="AE12" s="1167"/>
      <c r="AF12" s="1167"/>
      <c r="AG12" s="1167"/>
      <c r="AH12" s="1167"/>
      <c r="AI12" s="1167"/>
      <c r="AJ12" s="1167"/>
      <c r="AK12" s="1167"/>
      <c r="AL12" s="1167"/>
      <c r="AM12" s="1167"/>
      <c r="AN12" s="1167"/>
      <c r="AO12" s="1167"/>
      <c r="AP12" s="1167"/>
      <c r="AQ12" s="1167"/>
      <c r="AR12" s="1167"/>
      <c r="AS12" s="1167"/>
      <c r="AT12" s="1167"/>
      <c r="AU12" s="1167"/>
      <c r="AV12" s="1167"/>
      <c r="AW12" s="1167"/>
      <c r="AX12" s="1167"/>
      <c r="AY12" s="1167"/>
      <c r="AZ12" s="1167"/>
      <c r="BA12" s="1167"/>
      <c r="BB12" s="1167"/>
      <c r="BC12" s="1167"/>
      <c r="BD12" s="1167"/>
      <c r="BE12" s="1167"/>
      <c r="BF12" s="1167"/>
      <c r="BG12" s="1167"/>
      <c r="BH12" s="1167"/>
      <c r="BI12" s="1167"/>
      <c r="BJ12" s="1167"/>
      <c r="BK12" s="1167"/>
      <c r="BL12" s="1167"/>
      <c r="BM12" s="1167"/>
      <c r="BN12" s="1167"/>
      <c r="BO12" s="1167"/>
      <c r="BP12" s="1167"/>
      <c r="BQ12" s="1167"/>
      <c r="BR12" s="1167"/>
      <c r="BS12" s="1167"/>
      <c r="BT12" s="1167"/>
      <c r="BU12" s="1167"/>
      <c r="BV12" s="1167"/>
      <c r="BW12" s="1167"/>
      <c r="BX12" s="1167"/>
      <c r="BY12" s="1167"/>
      <c r="BZ12" s="1167"/>
      <c r="CA12" s="1167"/>
      <c r="CB12" s="1155"/>
      <c r="CC12" s="1155"/>
      <c r="CD12" s="1155"/>
    </row>
    <row r="13" spans="1:82" s="1168" customFormat="1" ht="12.75" customHeight="1">
      <c r="A13" s="1161" t="s">
        <v>615</v>
      </c>
      <c r="B13" s="1162">
        <f aca="true" t="shared" si="3" ref="B13:O13">B14+B15+B16</f>
        <v>47.435874999999996</v>
      </c>
      <c r="C13" s="1162">
        <f t="shared" si="3"/>
        <v>45.28073512499999</v>
      </c>
      <c r="D13" s="1162">
        <f t="shared" si="3"/>
        <v>36.248</v>
      </c>
      <c r="E13" s="1162">
        <f t="shared" si="3"/>
        <v>34.385734199999995</v>
      </c>
      <c r="F13" s="1162">
        <f t="shared" si="3"/>
        <v>44.23028571428571</v>
      </c>
      <c r="G13" s="1162">
        <f t="shared" si="3"/>
        <v>42.52445028571428</v>
      </c>
      <c r="H13" s="1162">
        <f t="shared" si="3"/>
        <v>44.231</v>
      </c>
      <c r="I13" s="1162">
        <f t="shared" si="3"/>
        <v>26.267</v>
      </c>
      <c r="J13" s="1162">
        <f t="shared" si="3"/>
        <v>30.810000000000002</v>
      </c>
      <c r="K13" s="1162">
        <f t="shared" si="3"/>
        <v>30.810000000000002</v>
      </c>
      <c r="L13" s="1162">
        <f t="shared" si="3"/>
        <v>49.2</v>
      </c>
      <c r="M13" s="1162">
        <f t="shared" si="3"/>
        <v>50.2</v>
      </c>
      <c r="N13" s="1162">
        <f t="shared" si="3"/>
        <v>50.94371143709712</v>
      </c>
      <c r="O13" s="1162">
        <f t="shared" si="3"/>
        <v>0.02857142857142857</v>
      </c>
      <c r="P13" s="1163"/>
      <c r="Q13" s="1163"/>
      <c r="R13" s="1163"/>
      <c r="S13" s="1163"/>
      <c r="T13" s="1163"/>
      <c r="U13" s="1163"/>
      <c r="V13" s="1163"/>
      <c r="W13" s="1163"/>
      <c r="X13" s="1163"/>
      <c r="Y13" s="1163"/>
      <c r="Z13" s="1163"/>
      <c r="AA13" s="1163"/>
      <c r="AB13" s="1163"/>
      <c r="AC13" s="1163"/>
      <c r="AD13" s="1163"/>
      <c r="AE13" s="1163"/>
      <c r="AF13" s="1163"/>
      <c r="AG13" s="1163"/>
      <c r="AH13" s="1163"/>
      <c r="AI13" s="1163"/>
      <c r="AJ13" s="1163"/>
      <c r="AK13" s="1163"/>
      <c r="AL13" s="1163"/>
      <c r="AM13" s="1163"/>
      <c r="AN13" s="1163"/>
      <c r="AO13" s="1163"/>
      <c r="AP13" s="1163"/>
      <c r="AQ13" s="1163"/>
      <c r="AR13" s="1163"/>
      <c r="AS13" s="1163"/>
      <c r="AT13" s="1163"/>
      <c r="AU13" s="1163"/>
      <c r="AV13" s="1163"/>
      <c r="AW13" s="1163"/>
      <c r="AX13" s="1163"/>
      <c r="AY13" s="1163"/>
      <c r="AZ13" s="1163"/>
      <c r="BA13" s="1163"/>
      <c r="BB13" s="1163"/>
      <c r="BC13" s="1163"/>
      <c r="BD13" s="1163"/>
      <c r="BE13" s="1163"/>
      <c r="BF13" s="1163"/>
      <c r="BG13" s="1163"/>
      <c r="BH13" s="1163"/>
      <c r="BI13" s="1163"/>
      <c r="BJ13" s="1163"/>
      <c r="BK13" s="1163"/>
      <c r="BL13" s="1163"/>
      <c r="BM13" s="1163"/>
      <c r="BN13" s="1163"/>
      <c r="BO13" s="1163"/>
      <c r="BP13" s="1163"/>
      <c r="BQ13" s="1163"/>
      <c r="BR13" s="1163"/>
      <c r="BS13" s="1163"/>
      <c r="BT13" s="1163"/>
      <c r="BU13" s="1163"/>
      <c r="BV13" s="1163"/>
      <c r="BW13" s="1163"/>
      <c r="BX13" s="1163"/>
      <c r="BY13" s="1163"/>
      <c r="BZ13" s="1163"/>
      <c r="CA13" s="1163"/>
      <c r="CB13" s="1155"/>
      <c r="CC13" s="1155"/>
      <c r="CD13" s="1155"/>
    </row>
    <row r="14" spans="1:82" s="1146" customFormat="1" ht="12.75" customHeight="1">
      <c r="A14" s="648" t="s">
        <v>235</v>
      </c>
      <c r="B14" s="1165">
        <v>27.27225</v>
      </c>
      <c r="C14" s="1165">
        <f>B14*0.908</f>
        <v>24.763203</v>
      </c>
      <c r="D14" s="1165">
        <v>22.746599999999997</v>
      </c>
      <c r="E14" s="1165">
        <f>D14*0.908</f>
        <v>20.653912799999997</v>
      </c>
      <c r="F14" s="1165">
        <v>21.81114285714286</v>
      </c>
      <c r="G14" s="1165">
        <f>F14*0.908</f>
        <v>19.804517714285716</v>
      </c>
      <c r="H14" s="1166">
        <v>27.981</v>
      </c>
      <c r="I14" s="1166">
        <v>23.063</v>
      </c>
      <c r="J14" s="1166">
        <v>22.157</v>
      </c>
      <c r="K14" s="1166">
        <v>22.157</v>
      </c>
      <c r="L14" s="1167">
        <v>30.8</v>
      </c>
      <c r="M14" s="1167">
        <v>25.2</v>
      </c>
      <c r="N14" s="1167">
        <v>25.12942575807331</v>
      </c>
      <c r="O14" s="1167">
        <v>0</v>
      </c>
      <c r="P14" s="1167"/>
      <c r="Q14" s="1167"/>
      <c r="R14" s="1167"/>
      <c r="S14" s="1167"/>
      <c r="T14" s="1167"/>
      <c r="U14" s="1167"/>
      <c r="V14" s="1167"/>
      <c r="W14" s="1167"/>
      <c r="X14" s="1167"/>
      <c r="Y14" s="1167"/>
      <c r="Z14" s="1167"/>
      <c r="AA14" s="1167"/>
      <c r="AB14" s="1167"/>
      <c r="AC14" s="1167"/>
      <c r="AD14" s="1167"/>
      <c r="AE14" s="1167"/>
      <c r="AF14" s="1167"/>
      <c r="AG14" s="1167"/>
      <c r="AH14" s="1167"/>
      <c r="AI14" s="1167"/>
      <c r="AJ14" s="1167"/>
      <c r="AK14" s="1167"/>
      <c r="AL14" s="1167"/>
      <c r="AM14" s="1167"/>
      <c r="AN14" s="1167"/>
      <c r="AO14" s="1167"/>
      <c r="AP14" s="1167"/>
      <c r="AQ14" s="1167"/>
      <c r="AR14" s="1167"/>
      <c r="AS14" s="1167"/>
      <c r="AT14" s="1167"/>
      <c r="AU14" s="1167"/>
      <c r="AV14" s="1167"/>
      <c r="AW14" s="1167"/>
      <c r="AX14" s="1167"/>
      <c r="AY14" s="1167"/>
      <c r="AZ14" s="1167"/>
      <c r="BA14" s="1167"/>
      <c r="BB14" s="1167"/>
      <c r="BC14" s="1167"/>
      <c r="BD14" s="1167"/>
      <c r="BE14" s="1167"/>
      <c r="BF14" s="1167"/>
      <c r="BG14" s="1167"/>
      <c r="BH14" s="1167"/>
      <c r="BI14" s="1167"/>
      <c r="BJ14" s="1167"/>
      <c r="BK14" s="1167"/>
      <c r="BL14" s="1167"/>
      <c r="BM14" s="1167"/>
      <c r="BN14" s="1167"/>
      <c r="BO14" s="1167"/>
      <c r="BP14" s="1167"/>
      <c r="BQ14" s="1167"/>
      <c r="BR14" s="1167"/>
      <c r="BS14" s="1167"/>
      <c r="BT14" s="1167"/>
      <c r="BU14" s="1167"/>
      <c r="BV14" s="1167"/>
      <c r="BW14" s="1167"/>
      <c r="BX14" s="1167"/>
      <c r="BY14" s="1167"/>
      <c r="BZ14" s="1167"/>
      <c r="CA14" s="1167"/>
      <c r="CB14" s="1155"/>
      <c r="CC14" s="1155"/>
      <c r="CD14" s="1155"/>
    </row>
    <row r="15" spans="1:82" s="1146" customFormat="1" ht="12.75" customHeight="1">
      <c r="A15" s="648" t="s">
        <v>242</v>
      </c>
      <c r="B15" s="1165">
        <v>14.0605</v>
      </c>
      <c r="C15" s="1165">
        <f>B15*1.023</f>
        <v>14.383891499999997</v>
      </c>
      <c r="D15" s="1165">
        <v>9.050799999999999</v>
      </c>
      <c r="E15" s="1165">
        <f>D15*1.023</f>
        <v>9.258968399999999</v>
      </c>
      <c r="F15" s="1165">
        <v>10.483</v>
      </c>
      <c r="G15" s="1165">
        <f>F15*1.023</f>
        <v>10.724109</v>
      </c>
      <c r="H15" s="1166">
        <v>9.135</v>
      </c>
      <c r="I15" s="1166">
        <v>1.641</v>
      </c>
      <c r="J15" s="1166">
        <v>5.085</v>
      </c>
      <c r="K15" s="1166">
        <v>5.085</v>
      </c>
      <c r="L15" s="1167">
        <v>8.8</v>
      </c>
      <c r="M15" s="1167">
        <v>14</v>
      </c>
      <c r="N15" s="1167">
        <v>11.460924348911318</v>
      </c>
      <c r="O15" s="1167">
        <v>0</v>
      </c>
      <c r="P15" s="1167"/>
      <c r="Q15" s="1167"/>
      <c r="R15" s="1167"/>
      <c r="S15" s="1167"/>
      <c r="T15" s="1167"/>
      <c r="U15" s="1167"/>
      <c r="V15" s="1167"/>
      <c r="W15" s="1167"/>
      <c r="X15" s="1167"/>
      <c r="Y15" s="1167"/>
      <c r="Z15" s="1167"/>
      <c r="AA15" s="1167"/>
      <c r="AB15" s="1167"/>
      <c r="AC15" s="1167"/>
      <c r="AD15" s="1167"/>
      <c r="AE15" s="1167"/>
      <c r="AF15" s="1167"/>
      <c r="AG15" s="1167"/>
      <c r="AH15" s="1167"/>
      <c r="AI15" s="1167"/>
      <c r="AJ15" s="1167"/>
      <c r="AK15" s="1167"/>
      <c r="AL15" s="1167"/>
      <c r="AM15" s="1167"/>
      <c r="AN15" s="1167"/>
      <c r="AO15" s="1167"/>
      <c r="AP15" s="1167"/>
      <c r="AQ15" s="1167"/>
      <c r="AR15" s="1167"/>
      <c r="AS15" s="1167"/>
      <c r="AT15" s="1167"/>
      <c r="AU15" s="1167"/>
      <c r="AV15" s="1167"/>
      <c r="AW15" s="1167"/>
      <c r="AX15" s="1167"/>
      <c r="AY15" s="1167"/>
      <c r="AZ15" s="1167"/>
      <c r="BA15" s="1167"/>
      <c r="BB15" s="1167"/>
      <c r="BC15" s="1167"/>
      <c r="BD15" s="1167"/>
      <c r="BE15" s="1167"/>
      <c r="BF15" s="1167"/>
      <c r="BG15" s="1167"/>
      <c r="BH15" s="1167"/>
      <c r="BI15" s="1167"/>
      <c r="BJ15" s="1167"/>
      <c r="BK15" s="1167"/>
      <c r="BL15" s="1167"/>
      <c r="BM15" s="1167"/>
      <c r="BN15" s="1167"/>
      <c r="BO15" s="1167"/>
      <c r="BP15" s="1167"/>
      <c r="BQ15" s="1167"/>
      <c r="BR15" s="1167"/>
      <c r="BS15" s="1167"/>
      <c r="BT15" s="1167"/>
      <c r="BU15" s="1167"/>
      <c r="BV15" s="1167"/>
      <c r="BW15" s="1167"/>
      <c r="BX15" s="1167"/>
      <c r="BY15" s="1167"/>
      <c r="BZ15" s="1167"/>
      <c r="CA15" s="1167"/>
      <c r="CB15" s="1155"/>
      <c r="CC15" s="1155"/>
      <c r="CD15" s="1155"/>
    </row>
    <row r="16" spans="1:82" s="1146" customFormat="1" ht="12.75" customHeight="1">
      <c r="A16" s="648" t="s">
        <v>247</v>
      </c>
      <c r="B16" s="1165">
        <v>6.1031249999999995</v>
      </c>
      <c r="C16" s="1165">
        <f>B16*1.005</f>
        <v>6.133640624999999</v>
      </c>
      <c r="D16" s="1165">
        <v>4.4506</v>
      </c>
      <c r="E16" s="1165">
        <f>D16*1.005</f>
        <v>4.472852999999999</v>
      </c>
      <c r="F16" s="1165">
        <v>11.936142857142856</v>
      </c>
      <c r="G16" s="1165">
        <f>F16*1.005</f>
        <v>11.99582357142857</v>
      </c>
      <c r="H16" s="1166">
        <v>7.115</v>
      </c>
      <c r="I16" s="1166">
        <v>1.563</v>
      </c>
      <c r="J16" s="1166">
        <v>3.568</v>
      </c>
      <c r="K16" s="1166">
        <v>3.568</v>
      </c>
      <c r="L16" s="1167">
        <v>9.6</v>
      </c>
      <c r="M16" s="1167">
        <v>11</v>
      </c>
      <c r="N16" s="1167">
        <v>14.35336133011249</v>
      </c>
      <c r="O16" s="1167">
        <v>0.02857142857142857</v>
      </c>
      <c r="P16" s="1167"/>
      <c r="Q16" s="1167"/>
      <c r="R16" s="1167"/>
      <c r="S16" s="1167"/>
      <c r="T16" s="1167"/>
      <c r="U16" s="1167"/>
      <c r="V16" s="1167"/>
      <c r="W16" s="1167"/>
      <c r="X16" s="1167"/>
      <c r="Y16" s="1167"/>
      <c r="Z16" s="1167"/>
      <c r="AA16" s="1167"/>
      <c r="AB16" s="1167"/>
      <c r="AC16" s="1167"/>
      <c r="AD16" s="1167"/>
      <c r="AE16" s="1167"/>
      <c r="AF16" s="1167"/>
      <c r="AG16" s="1167"/>
      <c r="AH16" s="1167"/>
      <c r="AI16" s="1167"/>
      <c r="AJ16" s="1167"/>
      <c r="AK16" s="1167"/>
      <c r="AL16" s="1167"/>
      <c r="AM16" s="1167"/>
      <c r="AN16" s="1167"/>
      <c r="AO16" s="1167"/>
      <c r="AP16" s="1167"/>
      <c r="AQ16" s="1167"/>
      <c r="AR16" s="1167"/>
      <c r="AS16" s="1167"/>
      <c r="AT16" s="1167"/>
      <c r="AU16" s="1167"/>
      <c r="AV16" s="1167"/>
      <c r="AW16" s="1167"/>
      <c r="AX16" s="1167"/>
      <c r="AY16" s="1167"/>
      <c r="AZ16" s="1167"/>
      <c r="BA16" s="1167"/>
      <c r="BB16" s="1167"/>
      <c r="BC16" s="1167"/>
      <c r="BD16" s="1167"/>
      <c r="BE16" s="1167"/>
      <c r="BF16" s="1167"/>
      <c r="BG16" s="1167"/>
      <c r="BH16" s="1167"/>
      <c r="BI16" s="1167"/>
      <c r="BJ16" s="1167"/>
      <c r="BK16" s="1167"/>
      <c r="BL16" s="1167"/>
      <c r="BM16" s="1167"/>
      <c r="BN16" s="1167"/>
      <c r="BO16" s="1167"/>
      <c r="BP16" s="1167"/>
      <c r="BQ16" s="1167"/>
      <c r="BR16" s="1167"/>
      <c r="BS16" s="1167"/>
      <c r="BT16" s="1167"/>
      <c r="BU16" s="1167"/>
      <c r="BV16" s="1167"/>
      <c r="BW16" s="1167"/>
      <c r="BX16" s="1167"/>
      <c r="BY16" s="1167"/>
      <c r="BZ16" s="1167"/>
      <c r="CA16" s="1167"/>
      <c r="CB16" s="1155"/>
      <c r="CC16" s="1155"/>
      <c r="CD16" s="1155"/>
    </row>
    <row r="17" spans="1:82" s="1168" customFormat="1" ht="12.75" customHeight="1">
      <c r="A17" s="1161" t="s">
        <v>428</v>
      </c>
      <c r="B17" s="1162">
        <f aca="true" t="shared" si="4" ref="B17:O17">B18+B19</f>
        <v>68.38862499999999</v>
      </c>
      <c r="C17" s="1162">
        <f t="shared" si="4"/>
        <v>68.94373575</v>
      </c>
      <c r="D17" s="1162">
        <f t="shared" si="4"/>
        <v>82.6834</v>
      </c>
      <c r="E17" s="1162">
        <f t="shared" si="4"/>
        <v>83.17903799999999</v>
      </c>
      <c r="F17" s="1162">
        <f t="shared" si="4"/>
        <v>66.505</v>
      </c>
      <c r="G17" s="1162">
        <f t="shared" si="4"/>
        <v>66.85315114285714</v>
      </c>
      <c r="H17" s="1162">
        <f t="shared" si="4"/>
        <v>106.73200000000003</v>
      </c>
      <c r="I17" s="1162">
        <f t="shared" si="4"/>
        <v>101.875</v>
      </c>
      <c r="J17" s="1162">
        <f t="shared" si="4"/>
        <v>82.765</v>
      </c>
      <c r="K17" s="1162">
        <f t="shared" si="4"/>
        <v>82.765</v>
      </c>
      <c r="L17" s="1162">
        <f t="shared" si="4"/>
        <v>109.35714285714288</v>
      </c>
      <c r="M17" s="1162">
        <f t="shared" si="4"/>
        <v>101.62857142857143</v>
      </c>
      <c r="N17" s="1162">
        <f t="shared" si="4"/>
        <v>118.9075630252101</v>
      </c>
      <c r="O17" s="1162">
        <f t="shared" si="4"/>
        <v>119.62857142857143</v>
      </c>
      <c r="P17" s="1163"/>
      <c r="Q17" s="1163"/>
      <c r="R17" s="1163"/>
      <c r="S17" s="1163"/>
      <c r="T17" s="1163"/>
      <c r="U17" s="1163"/>
      <c r="V17" s="1163"/>
      <c r="W17" s="1163"/>
      <c r="X17" s="1163"/>
      <c r="Y17" s="1163"/>
      <c r="Z17" s="1163"/>
      <c r="AA17" s="1163"/>
      <c r="AB17" s="1163"/>
      <c r="AC17" s="1163"/>
      <c r="AD17" s="1163"/>
      <c r="AE17" s="1163"/>
      <c r="AF17" s="1163"/>
      <c r="AG17" s="1163"/>
      <c r="AH17" s="1163"/>
      <c r="AI17" s="1163"/>
      <c r="AJ17" s="1163"/>
      <c r="AK17" s="1163"/>
      <c r="AL17" s="1163"/>
      <c r="AM17" s="1163"/>
      <c r="AN17" s="1163"/>
      <c r="AO17" s="1163"/>
      <c r="AP17" s="1163"/>
      <c r="AQ17" s="1163"/>
      <c r="AR17" s="1163"/>
      <c r="AS17" s="1163"/>
      <c r="AT17" s="1163"/>
      <c r="AU17" s="1163"/>
      <c r="AV17" s="1163"/>
      <c r="AW17" s="1163"/>
      <c r="AX17" s="1163"/>
      <c r="AY17" s="1163"/>
      <c r="AZ17" s="1163"/>
      <c r="BA17" s="1163"/>
      <c r="BB17" s="1163"/>
      <c r="BC17" s="1163"/>
      <c r="BD17" s="1163"/>
      <c r="BE17" s="1163"/>
      <c r="BF17" s="1163"/>
      <c r="BG17" s="1163"/>
      <c r="BH17" s="1163"/>
      <c r="BI17" s="1163"/>
      <c r="BJ17" s="1163"/>
      <c r="BK17" s="1163"/>
      <c r="BL17" s="1163"/>
      <c r="BM17" s="1163"/>
      <c r="BN17" s="1163"/>
      <c r="BO17" s="1163"/>
      <c r="BP17" s="1163"/>
      <c r="BQ17" s="1163"/>
      <c r="BR17" s="1163"/>
      <c r="BS17" s="1163"/>
      <c r="BT17" s="1163"/>
      <c r="BU17" s="1163"/>
      <c r="BV17" s="1163"/>
      <c r="BW17" s="1163"/>
      <c r="BX17" s="1163"/>
      <c r="BY17" s="1163"/>
      <c r="BZ17" s="1163"/>
      <c r="CA17" s="1163"/>
      <c r="CB17" s="1155"/>
      <c r="CC17" s="1155"/>
      <c r="CD17" s="1155"/>
    </row>
    <row r="18" spans="1:82" s="1146" customFormat="1" ht="12.75" customHeight="1">
      <c r="A18" s="648" t="s">
        <v>252</v>
      </c>
      <c r="B18" s="1165">
        <v>23.24075</v>
      </c>
      <c r="C18" s="1165">
        <f>B18*1.02</f>
        <v>23.705565</v>
      </c>
      <c r="D18" s="1165">
        <v>18.348400000000005</v>
      </c>
      <c r="E18" s="1165">
        <f>D18*1.02</f>
        <v>18.715368000000005</v>
      </c>
      <c r="F18" s="1165">
        <v>11.952285714285713</v>
      </c>
      <c r="G18" s="1165">
        <f>F18*1.02</f>
        <v>12.191331428571427</v>
      </c>
      <c r="H18" s="1166">
        <v>25.385</v>
      </c>
      <c r="I18" s="1166">
        <v>20.625</v>
      </c>
      <c r="J18" s="1166">
        <v>11</v>
      </c>
      <c r="K18" s="1166">
        <v>11</v>
      </c>
      <c r="L18" s="1167">
        <v>18.75</v>
      </c>
      <c r="M18" s="1167">
        <v>21.428571428571427</v>
      </c>
      <c r="N18" s="1167">
        <v>12.184873949579831</v>
      </c>
      <c r="O18" s="1167">
        <v>21.428571428571427</v>
      </c>
      <c r="P18" s="1167"/>
      <c r="Q18" s="1167"/>
      <c r="R18" s="1167"/>
      <c r="S18" s="1167"/>
      <c r="T18" s="1167"/>
      <c r="U18" s="1167"/>
      <c r="V18" s="1167"/>
      <c r="W18" s="1167"/>
      <c r="X18" s="1167"/>
      <c r="Y18" s="1167"/>
      <c r="Z18" s="1167"/>
      <c r="AA18" s="1167"/>
      <c r="AB18" s="1167"/>
      <c r="AC18" s="1167"/>
      <c r="AD18" s="1167"/>
      <c r="AE18" s="1167"/>
      <c r="AF18" s="1167"/>
      <c r="AG18" s="1167"/>
      <c r="AH18" s="1167"/>
      <c r="AI18" s="1167"/>
      <c r="AJ18" s="1167"/>
      <c r="AK18" s="1167"/>
      <c r="AL18" s="1167"/>
      <c r="AM18" s="1167"/>
      <c r="AN18" s="1167"/>
      <c r="AO18" s="1167"/>
      <c r="AP18" s="1167"/>
      <c r="AQ18" s="1167"/>
      <c r="AR18" s="1167"/>
      <c r="AS18" s="1167"/>
      <c r="AT18" s="1167"/>
      <c r="AU18" s="1167"/>
      <c r="AV18" s="1167"/>
      <c r="AW18" s="1167"/>
      <c r="AX18" s="1167"/>
      <c r="AY18" s="1167"/>
      <c r="AZ18" s="1167"/>
      <c r="BA18" s="1167"/>
      <c r="BB18" s="1167"/>
      <c r="BC18" s="1167"/>
      <c r="BD18" s="1167"/>
      <c r="BE18" s="1167"/>
      <c r="BF18" s="1167"/>
      <c r="BG18" s="1167"/>
      <c r="BH18" s="1167"/>
      <c r="BI18" s="1167"/>
      <c r="BJ18" s="1167"/>
      <c r="BK18" s="1167"/>
      <c r="BL18" s="1167"/>
      <c r="BM18" s="1167"/>
      <c r="BN18" s="1167"/>
      <c r="BO18" s="1167"/>
      <c r="BP18" s="1167"/>
      <c r="BQ18" s="1167"/>
      <c r="BR18" s="1167"/>
      <c r="BS18" s="1167"/>
      <c r="BT18" s="1167"/>
      <c r="BU18" s="1167"/>
      <c r="BV18" s="1167"/>
      <c r="BW18" s="1167"/>
      <c r="BX18" s="1167"/>
      <c r="BY18" s="1167"/>
      <c r="BZ18" s="1167"/>
      <c r="CA18" s="1167"/>
      <c r="CB18" s="1155"/>
      <c r="CC18" s="1155"/>
      <c r="CD18" s="1155"/>
    </row>
    <row r="19" spans="1:82" s="1146" customFormat="1" ht="12.75" customHeight="1">
      <c r="A19" s="648" t="s">
        <v>258</v>
      </c>
      <c r="B19" s="1165">
        <v>45.147875</v>
      </c>
      <c r="C19" s="1165">
        <f>B19*1.002</f>
        <v>45.23817075</v>
      </c>
      <c r="D19" s="1165">
        <v>64.335</v>
      </c>
      <c r="E19" s="1165">
        <f>D19*1.002</f>
        <v>64.46367</v>
      </c>
      <c r="F19" s="1165">
        <v>54.55271428571429</v>
      </c>
      <c r="G19" s="1165">
        <f>F19*1.002</f>
        <v>54.66181971428572</v>
      </c>
      <c r="H19" s="1166">
        <v>81.34700000000002</v>
      </c>
      <c r="I19" s="1166">
        <v>81.25</v>
      </c>
      <c r="J19" s="1166">
        <v>71.765</v>
      </c>
      <c r="K19" s="1166">
        <v>71.765</v>
      </c>
      <c r="L19" s="1167">
        <v>90.60714285714288</v>
      </c>
      <c r="M19" s="1167">
        <v>80.2</v>
      </c>
      <c r="N19" s="1167">
        <v>106.72268907563026</v>
      </c>
      <c r="O19" s="1167">
        <v>98.2</v>
      </c>
      <c r="P19" s="1167"/>
      <c r="Q19" s="1167"/>
      <c r="R19" s="1167"/>
      <c r="S19" s="1167"/>
      <c r="T19" s="1167"/>
      <c r="U19" s="1167"/>
      <c r="V19" s="1167"/>
      <c r="W19" s="1167"/>
      <c r="X19" s="1167"/>
      <c r="Y19" s="1167"/>
      <c r="Z19" s="1167"/>
      <c r="AA19" s="1167"/>
      <c r="AB19" s="1167"/>
      <c r="AC19" s="1167"/>
      <c r="AD19" s="1167"/>
      <c r="AE19" s="1167"/>
      <c r="AF19" s="1167"/>
      <c r="AG19" s="1167"/>
      <c r="AH19" s="1167"/>
      <c r="AI19" s="1167"/>
      <c r="AJ19" s="1167"/>
      <c r="AK19" s="1167"/>
      <c r="AL19" s="1167"/>
      <c r="AM19" s="1167"/>
      <c r="AN19" s="1167"/>
      <c r="AO19" s="1167"/>
      <c r="AP19" s="1167"/>
      <c r="AQ19" s="1167"/>
      <c r="AR19" s="1167"/>
      <c r="AS19" s="1167"/>
      <c r="AT19" s="1167"/>
      <c r="AU19" s="1167"/>
      <c r="AV19" s="1167"/>
      <c r="AW19" s="1167"/>
      <c r="AX19" s="1167"/>
      <c r="AY19" s="1167"/>
      <c r="AZ19" s="1167"/>
      <c r="BA19" s="1167"/>
      <c r="BB19" s="1167"/>
      <c r="BC19" s="1167"/>
      <c r="BD19" s="1167"/>
      <c r="BE19" s="1167"/>
      <c r="BF19" s="1167"/>
      <c r="BG19" s="1167"/>
      <c r="BH19" s="1167"/>
      <c r="BI19" s="1167"/>
      <c r="BJ19" s="1167"/>
      <c r="BK19" s="1167"/>
      <c r="BL19" s="1167"/>
      <c r="BM19" s="1167"/>
      <c r="BN19" s="1167"/>
      <c r="BO19" s="1167"/>
      <c r="BP19" s="1167"/>
      <c r="BQ19" s="1167"/>
      <c r="BR19" s="1167"/>
      <c r="BS19" s="1167"/>
      <c r="BT19" s="1167"/>
      <c r="BU19" s="1167"/>
      <c r="BV19" s="1167"/>
      <c r="BW19" s="1167"/>
      <c r="BX19" s="1167"/>
      <c r="BY19" s="1167"/>
      <c r="BZ19" s="1167"/>
      <c r="CA19" s="1167"/>
      <c r="CB19" s="1155"/>
      <c r="CC19" s="1155"/>
      <c r="CD19" s="1155"/>
    </row>
    <row r="20" spans="1:254" s="1146" customFormat="1" ht="12.75" customHeight="1">
      <c r="A20" s="1161" t="s">
        <v>621</v>
      </c>
      <c r="B20" s="1169">
        <v>82.434</v>
      </c>
      <c r="C20" s="1169">
        <f>B20*1.002</f>
        <v>82.598868</v>
      </c>
      <c r="D20" s="1169">
        <v>1.7706</v>
      </c>
      <c r="E20" s="1169">
        <f>D20*1.002</f>
        <v>1.7741411999999999</v>
      </c>
      <c r="F20" s="1169">
        <v>0.8207142857142857</v>
      </c>
      <c r="G20" s="1169">
        <f>F20*1.002</f>
        <v>0.8223557142857143</v>
      </c>
      <c r="H20" s="1169">
        <v>113.038</v>
      </c>
      <c r="I20" s="1169">
        <v>0</v>
      </c>
      <c r="J20" s="1169">
        <v>0</v>
      </c>
      <c r="K20" s="1169">
        <v>0</v>
      </c>
      <c r="L20" s="1163">
        <v>0</v>
      </c>
      <c r="M20" s="1163">
        <v>114.3</v>
      </c>
      <c r="N20" s="1163">
        <v>0</v>
      </c>
      <c r="O20" s="1163">
        <v>145</v>
      </c>
      <c r="P20" s="1163"/>
      <c r="Q20" s="1163"/>
      <c r="R20" s="1163"/>
      <c r="S20" s="1170"/>
      <c r="T20" s="1170"/>
      <c r="U20" s="1170"/>
      <c r="V20" s="1170"/>
      <c r="W20" s="1170"/>
      <c r="X20" s="1170"/>
      <c r="Y20" s="1170"/>
      <c r="Z20" s="1170"/>
      <c r="AA20" s="1170"/>
      <c r="AB20" s="1170"/>
      <c r="AC20" s="1170"/>
      <c r="AD20" s="1170"/>
      <c r="AE20" s="1170"/>
      <c r="AF20" s="1170"/>
      <c r="AG20" s="1170"/>
      <c r="AH20" s="1170"/>
      <c r="AI20" s="1170"/>
      <c r="AJ20" s="1170"/>
      <c r="AK20" s="1170"/>
      <c r="AL20" s="1170"/>
      <c r="AM20" s="1170"/>
      <c r="AN20" s="1170"/>
      <c r="AO20" s="1170"/>
      <c r="AP20" s="1170"/>
      <c r="AQ20" s="1170"/>
      <c r="AR20" s="1170"/>
      <c r="AS20" s="1170"/>
      <c r="AT20" s="1170"/>
      <c r="AU20" s="1170"/>
      <c r="AV20" s="1170"/>
      <c r="AW20" s="1170"/>
      <c r="AX20" s="1170"/>
      <c r="AY20" s="1170"/>
      <c r="AZ20" s="1170"/>
      <c r="BA20" s="1170"/>
      <c r="BB20" s="1170"/>
      <c r="BC20" s="1170"/>
      <c r="BD20" s="1170"/>
      <c r="BE20" s="1170"/>
      <c r="BF20" s="1170"/>
      <c r="BG20" s="1170"/>
      <c r="BH20" s="1170"/>
      <c r="BI20" s="1170"/>
      <c r="BJ20" s="1170"/>
      <c r="BK20" s="1170"/>
      <c r="BL20" s="1170"/>
      <c r="BM20" s="1170"/>
      <c r="BN20" s="1170"/>
      <c r="BO20" s="1170"/>
      <c r="BP20" s="1170"/>
      <c r="BQ20" s="1170"/>
      <c r="BR20" s="1170"/>
      <c r="BS20" s="1170"/>
      <c r="BT20" s="1170"/>
      <c r="BU20" s="1170"/>
      <c r="BV20" s="1170"/>
      <c r="BW20" s="1170"/>
      <c r="BX20" s="1170"/>
      <c r="BY20" s="1170"/>
      <c r="BZ20" s="1170"/>
      <c r="CA20" s="1170"/>
      <c r="CB20" s="1155"/>
      <c r="CC20" s="1155"/>
      <c r="CD20" s="1155"/>
      <c r="IQ20" s="1171"/>
      <c r="IR20" s="1171"/>
      <c r="IS20" s="1171"/>
      <c r="IT20" s="1171"/>
    </row>
    <row r="21" spans="1:82" s="1146" customFormat="1" ht="12.75" customHeight="1">
      <c r="A21" s="677" t="s">
        <v>964</v>
      </c>
      <c r="B21" s="1172"/>
      <c r="C21" s="1172"/>
      <c r="D21" s="1172"/>
      <c r="E21" s="1172"/>
      <c r="F21" s="1172"/>
      <c r="G21" s="1172"/>
      <c r="H21" s="1166"/>
      <c r="I21" s="1166"/>
      <c r="J21" s="1166"/>
      <c r="K21" s="1166"/>
      <c r="L21" s="1167">
        <v>0</v>
      </c>
      <c r="M21" s="1167">
        <v>30.3</v>
      </c>
      <c r="N21" s="1167">
        <v>0</v>
      </c>
      <c r="O21" s="1167">
        <v>60</v>
      </c>
      <c r="P21" s="1167"/>
      <c r="Q21" s="1167"/>
      <c r="R21" s="1167"/>
      <c r="S21" s="1167"/>
      <c r="T21" s="1167"/>
      <c r="U21" s="1167"/>
      <c r="V21" s="1167"/>
      <c r="W21" s="1167"/>
      <c r="X21" s="1167"/>
      <c r="Y21" s="1167"/>
      <c r="Z21" s="1167"/>
      <c r="AA21" s="1167"/>
      <c r="AB21" s="1167"/>
      <c r="AC21" s="1167"/>
      <c r="AD21" s="1167"/>
      <c r="AE21" s="1167"/>
      <c r="AF21" s="1167"/>
      <c r="AG21" s="1167"/>
      <c r="AH21" s="1167"/>
      <c r="AI21" s="1167"/>
      <c r="AJ21" s="1167"/>
      <c r="AK21" s="1167"/>
      <c r="AL21" s="1167"/>
      <c r="AM21" s="1167"/>
      <c r="AN21" s="1167"/>
      <c r="AO21" s="1167"/>
      <c r="AP21" s="1167"/>
      <c r="AQ21" s="1167"/>
      <c r="AR21" s="1167"/>
      <c r="AS21" s="1167"/>
      <c r="AT21" s="1167"/>
      <c r="AU21" s="1167"/>
      <c r="AV21" s="1167"/>
      <c r="AW21" s="1167"/>
      <c r="AX21" s="1167"/>
      <c r="AY21" s="1167"/>
      <c r="AZ21" s="1167"/>
      <c r="BA21" s="1167"/>
      <c r="BB21" s="1167"/>
      <c r="BC21" s="1167"/>
      <c r="BD21" s="1167"/>
      <c r="BE21" s="1167"/>
      <c r="BF21" s="1167"/>
      <c r="BG21" s="1167"/>
      <c r="BH21" s="1167"/>
      <c r="BI21" s="1167"/>
      <c r="BJ21" s="1167"/>
      <c r="BK21" s="1167"/>
      <c r="BL21" s="1167"/>
      <c r="BM21" s="1167"/>
      <c r="BN21" s="1167"/>
      <c r="BO21" s="1167"/>
      <c r="BP21" s="1167"/>
      <c r="BQ21" s="1167"/>
      <c r="BR21" s="1167"/>
      <c r="BS21" s="1167"/>
      <c r="BT21" s="1167"/>
      <c r="BU21" s="1167"/>
      <c r="BV21" s="1167"/>
      <c r="BW21" s="1167"/>
      <c r="BX21" s="1167"/>
      <c r="BY21" s="1167"/>
      <c r="BZ21" s="1167"/>
      <c r="CA21" s="1167"/>
      <c r="CB21" s="1155"/>
      <c r="CC21" s="1155"/>
      <c r="CD21" s="1155"/>
    </row>
    <row r="22" spans="1:254" s="1168" customFormat="1" ht="12.75" customHeight="1">
      <c r="A22" s="677" t="s">
        <v>266</v>
      </c>
      <c r="B22" s="1172"/>
      <c r="C22" s="1172"/>
      <c r="D22" s="1172"/>
      <c r="E22" s="1172"/>
      <c r="F22" s="1172"/>
      <c r="G22" s="1172"/>
      <c r="H22" s="1166"/>
      <c r="I22" s="1173"/>
      <c r="J22" s="1173"/>
      <c r="K22" s="1173"/>
      <c r="L22" s="1167">
        <v>0</v>
      </c>
      <c r="M22" s="1167">
        <v>84</v>
      </c>
      <c r="N22" s="1167">
        <v>0</v>
      </c>
      <c r="O22" s="1167">
        <v>85</v>
      </c>
      <c r="P22" s="1167"/>
      <c r="Q22" s="1174"/>
      <c r="R22" s="1174"/>
      <c r="S22" s="1174"/>
      <c r="T22" s="1174"/>
      <c r="U22" s="1174"/>
      <c r="V22" s="1174"/>
      <c r="W22" s="1174"/>
      <c r="X22" s="1174"/>
      <c r="Y22" s="1174"/>
      <c r="Z22" s="1174"/>
      <c r="AA22" s="1174"/>
      <c r="AB22" s="1174"/>
      <c r="AC22" s="1174"/>
      <c r="AD22" s="1174"/>
      <c r="AE22" s="1174"/>
      <c r="AF22" s="1174"/>
      <c r="AG22" s="1174"/>
      <c r="AH22" s="1174"/>
      <c r="AI22" s="1174"/>
      <c r="AJ22" s="1174"/>
      <c r="AK22" s="1174"/>
      <c r="AL22" s="1174"/>
      <c r="AM22" s="1174"/>
      <c r="AN22" s="1174"/>
      <c r="AO22" s="1174"/>
      <c r="AP22" s="1174"/>
      <c r="AQ22" s="1174"/>
      <c r="AR22" s="1174"/>
      <c r="AS22" s="1174"/>
      <c r="AT22" s="1174"/>
      <c r="AU22" s="1174"/>
      <c r="AV22" s="1174"/>
      <c r="AW22" s="1174"/>
      <c r="AX22" s="1174"/>
      <c r="AY22" s="1174"/>
      <c r="AZ22" s="1174"/>
      <c r="BA22" s="1174"/>
      <c r="BB22" s="1174"/>
      <c r="BC22" s="1174"/>
      <c r="BD22" s="1174"/>
      <c r="BE22" s="1174"/>
      <c r="BF22" s="1174"/>
      <c r="BG22" s="1174"/>
      <c r="BH22" s="1174"/>
      <c r="BI22" s="1174"/>
      <c r="BJ22" s="1174"/>
      <c r="BK22" s="1174"/>
      <c r="BL22" s="1174"/>
      <c r="BM22" s="1174"/>
      <c r="BN22" s="1174"/>
      <c r="BO22" s="1174"/>
      <c r="BP22" s="1174"/>
      <c r="BQ22" s="1174"/>
      <c r="BR22" s="1174"/>
      <c r="BS22" s="1174"/>
      <c r="BT22" s="1174"/>
      <c r="BU22" s="1174"/>
      <c r="BV22" s="1174"/>
      <c r="BW22" s="1174"/>
      <c r="BX22" s="1174"/>
      <c r="BY22" s="1174"/>
      <c r="BZ22" s="1174"/>
      <c r="CA22" s="1174"/>
      <c r="CB22" s="1155"/>
      <c r="CC22" s="1155"/>
      <c r="CD22" s="1155"/>
      <c r="IQ22" s="1175"/>
      <c r="IR22" s="1175"/>
      <c r="IS22" s="1175"/>
      <c r="IT22" s="1175"/>
    </row>
    <row r="23" spans="1:82" s="1168" customFormat="1" ht="12.75" customHeight="1">
      <c r="A23" s="1161" t="s">
        <v>965</v>
      </c>
      <c r="B23" s="1162">
        <f aca="true" t="shared" si="5" ref="B23:O23">B24+B25+B26+B27</f>
        <v>131.6055</v>
      </c>
      <c r="C23" s="1162">
        <f t="shared" si="5"/>
        <v>131.41627550000004</v>
      </c>
      <c r="D23" s="1162">
        <f t="shared" si="5"/>
        <v>111.3266</v>
      </c>
      <c r="E23" s="1162">
        <f t="shared" si="5"/>
        <v>110.74909679999999</v>
      </c>
      <c r="F23" s="1162">
        <f t="shared" si="5"/>
        <v>109.99714285714286</v>
      </c>
      <c r="G23" s="1162">
        <f t="shared" si="5"/>
        <v>110.49363114285714</v>
      </c>
      <c r="H23" s="1162">
        <f t="shared" si="5"/>
        <v>103.943</v>
      </c>
      <c r="I23" s="1162">
        <f t="shared" si="5"/>
        <v>55.86</v>
      </c>
      <c r="J23" s="1162">
        <f t="shared" si="5"/>
        <v>79.817</v>
      </c>
      <c r="K23" s="1162">
        <f t="shared" si="5"/>
        <v>79.817</v>
      </c>
      <c r="L23" s="1162">
        <f t="shared" si="5"/>
        <v>72.2</v>
      </c>
      <c r="M23" s="1162">
        <f t="shared" si="5"/>
        <v>192.4</v>
      </c>
      <c r="N23" s="1162">
        <f t="shared" si="5"/>
        <v>81.08168496683335</v>
      </c>
      <c r="O23" s="1162">
        <f t="shared" si="5"/>
        <v>48.57142857142858</v>
      </c>
      <c r="P23" s="1163"/>
      <c r="Q23" s="1163"/>
      <c r="R23" s="1163"/>
      <c r="S23" s="1163"/>
      <c r="T23" s="1163"/>
      <c r="U23" s="1163"/>
      <c r="V23" s="1163"/>
      <c r="W23" s="1163"/>
      <c r="X23" s="1163"/>
      <c r="Y23" s="1163"/>
      <c r="Z23" s="1163"/>
      <c r="AA23" s="1163"/>
      <c r="AB23" s="1163"/>
      <c r="AC23" s="1163"/>
      <c r="AD23" s="1163"/>
      <c r="AE23" s="1163"/>
      <c r="AF23" s="1163"/>
      <c r="AG23" s="1163"/>
      <c r="AH23" s="1163"/>
      <c r="AI23" s="1163"/>
      <c r="AJ23" s="1163"/>
      <c r="AK23" s="1163"/>
      <c r="AL23" s="1163"/>
      <c r="AM23" s="1163"/>
      <c r="AN23" s="1163"/>
      <c r="AO23" s="1163"/>
      <c r="AP23" s="1163"/>
      <c r="AQ23" s="1163"/>
      <c r="AR23" s="1163"/>
      <c r="AS23" s="1163"/>
      <c r="AT23" s="1163"/>
      <c r="AU23" s="1163"/>
      <c r="AV23" s="1163"/>
      <c r="AW23" s="1163"/>
      <c r="AX23" s="1163"/>
      <c r="AY23" s="1163"/>
      <c r="AZ23" s="1163"/>
      <c r="BA23" s="1163"/>
      <c r="BB23" s="1163"/>
      <c r="BC23" s="1163"/>
      <c r="BD23" s="1163"/>
      <c r="BE23" s="1163"/>
      <c r="BF23" s="1163"/>
      <c r="BG23" s="1163"/>
      <c r="BH23" s="1163"/>
      <c r="BI23" s="1163"/>
      <c r="BJ23" s="1163"/>
      <c r="BK23" s="1163"/>
      <c r="BL23" s="1163"/>
      <c r="BM23" s="1163"/>
      <c r="BN23" s="1163"/>
      <c r="BO23" s="1163"/>
      <c r="BP23" s="1163"/>
      <c r="BQ23" s="1163"/>
      <c r="BR23" s="1163"/>
      <c r="BS23" s="1163"/>
      <c r="BT23" s="1163"/>
      <c r="BU23" s="1163"/>
      <c r="BV23" s="1163"/>
      <c r="BW23" s="1163"/>
      <c r="BX23" s="1163"/>
      <c r="BY23" s="1163"/>
      <c r="BZ23" s="1163"/>
      <c r="CA23" s="1163"/>
      <c r="CB23" s="1155"/>
      <c r="CC23" s="1155"/>
      <c r="CD23" s="1155"/>
    </row>
    <row r="24" spans="1:82" s="1146" customFormat="1" ht="12.75" customHeight="1">
      <c r="A24" s="648" t="s">
        <v>337</v>
      </c>
      <c r="B24" s="1165">
        <v>29.02625</v>
      </c>
      <c r="C24" s="1165">
        <f>B24*1.026</f>
        <v>29.780932500000002</v>
      </c>
      <c r="D24" s="1165">
        <v>32.6394</v>
      </c>
      <c r="E24" s="1165">
        <f>D24*1.026</f>
        <v>33.4880244</v>
      </c>
      <c r="F24" s="1165">
        <v>43.835142857142856</v>
      </c>
      <c r="G24" s="1165">
        <f>F24*1.026</f>
        <v>44.97485657142857</v>
      </c>
      <c r="H24" s="1166">
        <v>6.154</v>
      </c>
      <c r="I24" s="1166">
        <v>3.75</v>
      </c>
      <c r="J24" s="1166">
        <v>15.895</v>
      </c>
      <c r="K24" s="1166">
        <v>15.895</v>
      </c>
      <c r="L24" s="1167">
        <v>18.9</v>
      </c>
      <c r="M24" s="1167">
        <v>125.3</v>
      </c>
      <c r="N24" s="1167">
        <v>20.80404499585194</v>
      </c>
      <c r="O24" s="1167">
        <v>14.285714285714286</v>
      </c>
      <c r="P24" s="1167"/>
      <c r="Q24" s="1167"/>
      <c r="R24" s="1167"/>
      <c r="S24" s="1167"/>
      <c r="T24" s="1167"/>
      <c r="U24" s="1167"/>
      <c r="V24" s="1167"/>
      <c r="W24" s="1167"/>
      <c r="X24" s="1167"/>
      <c r="Y24" s="1167"/>
      <c r="Z24" s="1167"/>
      <c r="AA24" s="1167"/>
      <c r="AB24" s="1167"/>
      <c r="AC24" s="1167"/>
      <c r="AD24" s="1167"/>
      <c r="AE24" s="1167"/>
      <c r="AF24" s="1167"/>
      <c r="AG24" s="1167"/>
      <c r="AH24" s="1167"/>
      <c r="AI24" s="1167"/>
      <c r="AJ24" s="1167"/>
      <c r="AK24" s="1167"/>
      <c r="AL24" s="1167"/>
      <c r="AM24" s="1167"/>
      <c r="AN24" s="1167"/>
      <c r="AO24" s="1167"/>
      <c r="AP24" s="1167"/>
      <c r="AQ24" s="1167"/>
      <c r="AR24" s="1167"/>
      <c r="AS24" s="1167"/>
      <c r="AT24" s="1167"/>
      <c r="AU24" s="1167"/>
      <c r="AV24" s="1167"/>
      <c r="AW24" s="1167"/>
      <c r="AX24" s="1167"/>
      <c r="AY24" s="1167"/>
      <c r="AZ24" s="1167"/>
      <c r="BA24" s="1167"/>
      <c r="BB24" s="1167"/>
      <c r="BC24" s="1167"/>
      <c r="BD24" s="1167"/>
      <c r="BE24" s="1167"/>
      <c r="BF24" s="1167"/>
      <c r="BG24" s="1167"/>
      <c r="BH24" s="1167"/>
      <c r="BI24" s="1167"/>
      <c r="BJ24" s="1167"/>
      <c r="BK24" s="1167"/>
      <c r="BL24" s="1167"/>
      <c r="BM24" s="1167"/>
      <c r="BN24" s="1167"/>
      <c r="BO24" s="1167"/>
      <c r="BP24" s="1167"/>
      <c r="BQ24" s="1167"/>
      <c r="BR24" s="1167"/>
      <c r="BS24" s="1167"/>
      <c r="BT24" s="1167"/>
      <c r="BU24" s="1167"/>
      <c r="BV24" s="1167"/>
      <c r="BW24" s="1167"/>
      <c r="BX24" s="1167"/>
      <c r="BY24" s="1167"/>
      <c r="BZ24" s="1167"/>
      <c r="CA24" s="1167"/>
      <c r="CB24" s="1155"/>
      <c r="CC24" s="1155"/>
      <c r="CD24" s="1155"/>
    </row>
    <row r="25" spans="1:82" s="1146" customFormat="1" ht="12.75" customHeight="1">
      <c r="A25" s="648" t="s">
        <v>273</v>
      </c>
      <c r="B25" s="1165">
        <v>36.6785</v>
      </c>
      <c r="C25" s="1165">
        <f>B25*0.937</f>
        <v>34.367754500000004</v>
      </c>
      <c r="D25" s="1165">
        <v>34.2444</v>
      </c>
      <c r="E25" s="1165">
        <f>D25*0.937</f>
        <v>32.0870028</v>
      </c>
      <c r="F25" s="1165">
        <v>25.232857142857142</v>
      </c>
      <c r="G25" s="1165">
        <f>F25*0.937</f>
        <v>23.643187142857144</v>
      </c>
      <c r="H25" s="1166">
        <v>56.635</v>
      </c>
      <c r="I25" s="1166">
        <v>30.391</v>
      </c>
      <c r="J25" s="1166">
        <v>25.866</v>
      </c>
      <c r="K25" s="1166">
        <v>25.866</v>
      </c>
      <c r="L25" s="1167">
        <v>26.2</v>
      </c>
      <c r="M25" s="1167">
        <v>25.2</v>
      </c>
      <c r="N25" s="1167">
        <v>18.66954997927753</v>
      </c>
      <c r="O25" s="1167">
        <v>14.285714285714286</v>
      </c>
      <c r="P25" s="1167"/>
      <c r="Q25" s="1167"/>
      <c r="R25" s="1167"/>
      <c r="S25" s="1167"/>
      <c r="T25" s="1167"/>
      <c r="U25" s="1167"/>
      <c r="V25" s="1167"/>
      <c r="W25" s="1167"/>
      <c r="X25" s="1167"/>
      <c r="Y25" s="1167"/>
      <c r="Z25" s="1167"/>
      <c r="AA25" s="1167"/>
      <c r="AB25" s="1167"/>
      <c r="AC25" s="1167"/>
      <c r="AD25" s="1167"/>
      <c r="AE25" s="1167"/>
      <c r="AF25" s="1167"/>
      <c r="AG25" s="1167"/>
      <c r="AH25" s="1167"/>
      <c r="AI25" s="1167"/>
      <c r="AJ25" s="1167"/>
      <c r="AK25" s="1167"/>
      <c r="AL25" s="1167"/>
      <c r="AM25" s="1167"/>
      <c r="AN25" s="1167"/>
      <c r="AO25" s="1167"/>
      <c r="AP25" s="1167"/>
      <c r="AQ25" s="1167"/>
      <c r="AR25" s="1167"/>
      <c r="AS25" s="1167"/>
      <c r="AT25" s="1167"/>
      <c r="AU25" s="1167"/>
      <c r="AV25" s="1167"/>
      <c r="AW25" s="1167"/>
      <c r="AX25" s="1167"/>
      <c r="AY25" s="1167"/>
      <c r="AZ25" s="1167"/>
      <c r="BA25" s="1167"/>
      <c r="BB25" s="1167"/>
      <c r="BC25" s="1167"/>
      <c r="BD25" s="1167"/>
      <c r="BE25" s="1167"/>
      <c r="BF25" s="1167"/>
      <c r="BG25" s="1167"/>
      <c r="BH25" s="1167"/>
      <c r="BI25" s="1167"/>
      <c r="BJ25" s="1167"/>
      <c r="BK25" s="1167"/>
      <c r="BL25" s="1167"/>
      <c r="BM25" s="1167"/>
      <c r="BN25" s="1167"/>
      <c r="BO25" s="1167"/>
      <c r="BP25" s="1167"/>
      <c r="BQ25" s="1167"/>
      <c r="BR25" s="1167"/>
      <c r="BS25" s="1167"/>
      <c r="BT25" s="1167"/>
      <c r="BU25" s="1167"/>
      <c r="BV25" s="1167"/>
      <c r="BW25" s="1167"/>
      <c r="BX25" s="1167"/>
      <c r="BY25" s="1167"/>
      <c r="BZ25" s="1167"/>
      <c r="CA25" s="1167"/>
      <c r="CB25" s="1155"/>
      <c r="CC25" s="1155"/>
      <c r="CD25" s="1155"/>
    </row>
    <row r="26" spans="1:82" s="1146" customFormat="1" ht="12.75" customHeight="1">
      <c r="A26" s="648" t="s">
        <v>276</v>
      </c>
      <c r="B26" s="1165">
        <v>51.459875000000004</v>
      </c>
      <c r="C26" s="1165">
        <f>B26*1.026</f>
        <v>52.79783175000001</v>
      </c>
      <c r="D26" s="1165">
        <v>26.766</v>
      </c>
      <c r="E26" s="1165">
        <f>D26*1.026</f>
        <v>27.461916</v>
      </c>
      <c r="F26" s="1165">
        <v>36.02442857142857</v>
      </c>
      <c r="G26" s="1165">
        <f>F26*1.026</f>
        <v>36.961063714285714</v>
      </c>
      <c r="H26" s="1166">
        <v>22.404</v>
      </c>
      <c r="I26" s="1166">
        <v>13.906</v>
      </c>
      <c r="J26" s="1166">
        <v>32.982</v>
      </c>
      <c r="K26" s="1166">
        <v>32.982</v>
      </c>
      <c r="L26" s="1167">
        <v>22.7</v>
      </c>
      <c r="M26" s="1167">
        <v>36.3</v>
      </c>
      <c r="N26" s="1167">
        <v>35.36687649294829</v>
      </c>
      <c r="O26" s="1167">
        <v>14.285714285714286</v>
      </c>
      <c r="P26" s="1167"/>
      <c r="Q26" s="1167"/>
      <c r="R26" s="1167"/>
      <c r="S26" s="1167"/>
      <c r="T26" s="1167"/>
      <c r="U26" s="1167"/>
      <c r="V26" s="1167"/>
      <c r="W26" s="1167"/>
      <c r="X26" s="1167"/>
      <c r="Y26" s="1167"/>
      <c r="Z26" s="1167"/>
      <c r="AA26" s="1167"/>
      <c r="AB26" s="1167"/>
      <c r="AC26" s="1167"/>
      <c r="AD26" s="1167"/>
      <c r="AE26" s="1167"/>
      <c r="AF26" s="1167"/>
      <c r="AG26" s="1167"/>
      <c r="AH26" s="1167"/>
      <c r="AI26" s="1167"/>
      <c r="AJ26" s="1167"/>
      <c r="AK26" s="1167"/>
      <c r="AL26" s="1167"/>
      <c r="AM26" s="1167"/>
      <c r="AN26" s="1167"/>
      <c r="AO26" s="1167"/>
      <c r="AP26" s="1167"/>
      <c r="AQ26" s="1167"/>
      <c r="AR26" s="1167"/>
      <c r="AS26" s="1167"/>
      <c r="AT26" s="1167"/>
      <c r="AU26" s="1167"/>
      <c r="AV26" s="1167"/>
      <c r="AW26" s="1167"/>
      <c r="AX26" s="1167"/>
      <c r="AY26" s="1167"/>
      <c r="AZ26" s="1167"/>
      <c r="BA26" s="1167"/>
      <c r="BB26" s="1167"/>
      <c r="BC26" s="1167"/>
      <c r="BD26" s="1167"/>
      <c r="BE26" s="1167"/>
      <c r="BF26" s="1167"/>
      <c r="BG26" s="1167"/>
      <c r="BH26" s="1167"/>
      <c r="BI26" s="1167"/>
      <c r="BJ26" s="1167"/>
      <c r="BK26" s="1167"/>
      <c r="BL26" s="1167"/>
      <c r="BM26" s="1167"/>
      <c r="BN26" s="1167"/>
      <c r="BO26" s="1167"/>
      <c r="BP26" s="1167"/>
      <c r="BQ26" s="1167"/>
      <c r="BR26" s="1167"/>
      <c r="BS26" s="1167"/>
      <c r="BT26" s="1167"/>
      <c r="BU26" s="1167"/>
      <c r="BV26" s="1167"/>
      <c r="BW26" s="1167"/>
      <c r="BX26" s="1167"/>
      <c r="BY26" s="1167"/>
      <c r="BZ26" s="1167"/>
      <c r="CA26" s="1167"/>
      <c r="CB26" s="1155"/>
      <c r="CC26" s="1155"/>
      <c r="CD26" s="1155"/>
    </row>
    <row r="27" spans="1:82" s="1146" customFormat="1" ht="12.75" customHeight="1">
      <c r="A27" s="648" t="s">
        <v>629</v>
      </c>
      <c r="B27" s="1165">
        <v>14.440875000000002</v>
      </c>
      <c r="C27" s="1165">
        <f>B27*1.002</f>
        <v>14.469756750000002</v>
      </c>
      <c r="D27" s="1165">
        <v>17.6768</v>
      </c>
      <c r="E27" s="1165">
        <f>D27*1.002</f>
        <v>17.7121536</v>
      </c>
      <c r="F27" s="1165">
        <v>4.904714285714285</v>
      </c>
      <c r="G27" s="1165">
        <f>F27*1.002</f>
        <v>4.914523714285714</v>
      </c>
      <c r="H27" s="1166">
        <v>18.75</v>
      </c>
      <c r="I27" s="1166">
        <v>7.813</v>
      </c>
      <c r="J27" s="1166">
        <v>5.074</v>
      </c>
      <c r="K27" s="1166">
        <v>5.074</v>
      </c>
      <c r="L27" s="1167">
        <v>4.4</v>
      </c>
      <c r="M27" s="1167">
        <v>5.6</v>
      </c>
      <c r="N27" s="1167">
        <v>6.241213498755581</v>
      </c>
      <c r="O27" s="1167">
        <v>5.7142857142857135</v>
      </c>
      <c r="P27" s="1167"/>
      <c r="Q27" s="1167"/>
      <c r="R27" s="1167"/>
      <c r="S27" s="1167"/>
      <c r="T27" s="1167"/>
      <c r="U27" s="1167"/>
      <c r="V27" s="1167"/>
      <c r="W27" s="1167"/>
      <c r="X27" s="1167"/>
      <c r="Y27" s="1167"/>
      <c r="Z27" s="1167"/>
      <c r="AA27" s="1167"/>
      <c r="AB27" s="1167"/>
      <c r="AC27" s="1167"/>
      <c r="AD27" s="1167"/>
      <c r="AE27" s="1167"/>
      <c r="AF27" s="1167"/>
      <c r="AG27" s="1167"/>
      <c r="AH27" s="1167"/>
      <c r="AI27" s="1167"/>
      <c r="AJ27" s="1167"/>
      <c r="AK27" s="1167"/>
      <c r="AL27" s="1167"/>
      <c r="AM27" s="1167"/>
      <c r="AN27" s="1167"/>
      <c r="AO27" s="1167"/>
      <c r="AP27" s="1167"/>
      <c r="AQ27" s="1167"/>
      <c r="AR27" s="1167"/>
      <c r="AS27" s="1167"/>
      <c r="AT27" s="1167"/>
      <c r="AU27" s="1167"/>
      <c r="AV27" s="1167"/>
      <c r="AW27" s="1167"/>
      <c r="AX27" s="1167"/>
      <c r="AY27" s="1167"/>
      <c r="AZ27" s="1167"/>
      <c r="BA27" s="1167"/>
      <c r="BB27" s="1167"/>
      <c r="BC27" s="1167"/>
      <c r="BD27" s="1167"/>
      <c r="BE27" s="1167"/>
      <c r="BF27" s="1167"/>
      <c r="BG27" s="1167"/>
      <c r="BH27" s="1167"/>
      <c r="BI27" s="1167"/>
      <c r="BJ27" s="1167"/>
      <c r="BK27" s="1167"/>
      <c r="BL27" s="1167"/>
      <c r="BM27" s="1167"/>
      <c r="BN27" s="1167"/>
      <c r="BO27" s="1167"/>
      <c r="BP27" s="1167"/>
      <c r="BQ27" s="1167"/>
      <c r="BR27" s="1167"/>
      <c r="BS27" s="1167"/>
      <c r="BT27" s="1167"/>
      <c r="BU27" s="1167"/>
      <c r="BV27" s="1167"/>
      <c r="BW27" s="1167"/>
      <c r="BX27" s="1167"/>
      <c r="BY27" s="1167"/>
      <c r="BZ27" s="1167"/>
      <c r="CA27" s="1167"/>
      <c r="CB27" s="1155"/>
      <c r="CC27" s="1155"/>
      <c r="CD27" s="1155"/>
    </row>
    <row r="28" spans="1:82" s="1168" customFormat="1" ht="12.75" customHeight="1">
      <c r="A28" s="1161" t="s">
        <v>966</v>
      </c>
      <c r="B28" s="1162">
        <f aca="true" t="shared" si="6" ref="B28:O28">B29+B30+B31</f>
        <v>85.74137499999999</v>
      </c>
      <c r="C28" s="1162">
        <f t="shared" si="6"/>
        <v>89.13568037499999</v>
      </c>
      <c r="D28" s="1162">
        <f t="shared" si="6"/>
        <v>33.0458</v>
      </c>
      <c r="E28" s="1162">
        <f t="shared" si="6"/>
        <v>34.7180266</v>
      </c>
      <c r="F28" s="1162">
        <f t="shared" si="6"/>
        <v>28.092000000000006</v>
      </c>
      <c r="G28" s="1162">
        <f t="shared" si="6"/>
        <v>29.39411842857143</v>
      </c>
      <c r="H28" s="1162">
        <f t="shared" si="6"/>
        <v>101.11500000000001</v>
      </c>
      <c r="I28" s="1162">
        <f t="shared" si="6"/>
        <v>48.781</v>
      </c>
      <c r="J28" s="1162">
        <f t="shared" si="6"/>
        <v>42.653999999999996</v>
      </c>
      <c r="K28" s="1162">
        <f t="shared" si="6"/>
        <v>42.653999999999996</v>
      </c>
      <c r="L28" s="1162">
        <f t="shared" si="6"/>
        <v>25.2</v>
      </c>
      <c r="M28" s="1162">
        <f t="shared" si="6"/>
        <v>79</v>
      </c>
      <c r="N28" s="1162">
        <f t="shared" si="6"/>
        <v>25.359906614933458</v>
      </c>
      <c r="O28" s="1162">
        <f t="shared" si="6"/>
        <v>95.71428571428572</v>
      </c>
      <c r="P28" s="1163"/>
      <c r="Q28" s="1163"/>
      <c r="R28" s="1163"/>
      <c r="S28" s="1163"/>
      <c r="T28" s="1163"/>
      <c r="U28" s="1163"/>
      <c r="V28" s="1163"/>
      <c r="W28" s="1163"/>
      <c r="X28" s="1163"/>
      <c r="Y28" s="1163"/>
      <c r="Z28" s="1163"/>
      <c r="AA28" s="1163"/>
      <c r="AB28" s="1163"/>
      <c r="AC28" s="1163"/>
      <c r="AD28" s="1163"/>
      <c r="AE28" s="1163"/>
      <c r="AF28" s="1163"/>
      <c r="AG28" s="1163"/>
      <c r="AH28" s="1163"/>
      <c r="AI28" s="1163"/>
      <c r="AJ28" s="1163"/>
      <c r="AK28" s="1163"/>
      <c r="AL28" s="1163"/>
      <c r="AM28" s="1163"/>
      <c r="AN28" s="1163"/>
      <c r="AO28" s="1163"/>
      <c r="AP28" s="1163"/>
      <c r="AQ28" s="1163"/>
      <c r="AR28" s="1163"/>
      <c r="AS28" s="1163"/>
      <c r="AT28" s="1163"/>
      <c r="AU28" s="1163"/>
      <c r="AV28" s="1163"/>
      <c r="AW28" s="1163"/>
      <c r="AX28" s="1163"/>
      <c r="AY28" s="1163"/>
      <c r="AZ28" s="1163"/>
      <c r="BA28" s="1163"/>
      <c r="BB28" s="1163"/>
      <c r="BC28" s="1163"/>
      <c r="BD28" s="1163"/>
      <c r="BE28" s="1163"/>
      <c r="BF28" s="1163"/>
      <c r="BG28" s="1163"/>
      <c r="BH28" s="1163"/>
      <c r="BI28" s="1163"/>
      <c r="BJ28" s="1163"/>
      <c r="BK28" s="1163"/>
      <c r="BL28" s="1163"/>
      <c r="BM28" s="1163"/>
      <c r="BN28" s="1163"/>
      <c r="BO28" s="1163"/>
      <c r="BP28" s="1163"/>
      <c r="BQ28" s="1163"/>
      <c r="BR28" s="1163"/>
      <c r="BS28" s="1163"/>
      <c r="BT28" s="1163"/>
      <c r="BU28" s="1163"/>
      <c r="BV28" s="1163"/>
      <c r="BW28" s="1163"/>
      <c r="BX28" s="1163"/>
      <c r="BY28" s="1163"/>
      <c r="BZ28" s="1163"/>
      <c r="CA28" s="1163"/>
      <c r="CB28" s="1155"/>
      <c r="CC28" s="1155"/>
      <c r="CD28" s="1155"/>
    </row>
    <row r="29" spans="1:82" s="1146" customFormat="1" ht="12.75" customHeight="1">
      <c r="A29" s="648" t="s">
        <v>281</v>
      </c>
      <c r="B29" s="1165">
        <v>9.668999999999999</v>
      </c>
      <c r="C29" s="1165">
        <f>B29*1.014</f>
        <v>9.804365999999998</v>
      </c>
      <c r="D29" s="1165">
        <v>2.6542000000000003</v>
      </c>
      <c r="E29" s="1165">
        <f>D29*1.014</f>
        <v>2.6913588</v>
      </c>
      <c r="F29" s="1165">
        <v>3.4352857142857145</v>
      </c>
      <c r="G29" s="1165">
        <f>F29*1.014</f>
        <v>3.4833797142857144</v>
      </c>
      <c r="H29" s="1166">
        <v>10.308</v>
      </c>
      <c r="I29" s="1166">
        <v>5.031</v>
      </c>
      <c r="J29" s="1166">
        <v>4.203</v>
      </c>
      <c r="K29" s="1166">
        <v>4.203</v>
      </c>
      <c r="L29" s="1167">
        <v>7.6</v>
      </c>
      <c r="M29" s="1167">
        <v>14.3</v>
      </c>
      <c r="N29" s="1167">
        <v>7.125924172791221</v>
      </c>
      <c r="O29" s="1167">
        <v>14.285714285714286</v>
      </c>
      <c r="P29" s="1167"/>
      <c r="Q29" s="1167"/>
      <c r="R29" s="1167"/>
      <c r="S29" s="1167"/>
      <c r="T29" s="1167"/>
      <c r="U29" s="1167"/>
      <c r="V29" s="1167"/>
      <c r="W29" s="1167"/>
      <c r="X29" s="1167"/>
      <c r="Y29" s="1167"/>
      <c r="Z29" s="1167"/>
      <c r="AA29" s="1167"/>
      <c r="AB29" s="1167"/>
      <c r="AC29" s="1167"/>
      <c r="AD29" s="1167"/>
      <c r="AE29" s="1167"/>
      <c r="AF29" s="1167"/>
      <c r="AG29" s="1167"/>
      <c r="AH29" s="1167"/>
      <c r="AI29" s="1167"/>
      <c r="AJ29" s="1167"/>
      <c r="AK29" s="1167"/>
      <c r="AL29" s="1167"/>
      <c r="AM29" s="1167"/>
      <c r="AN29" s="1167"/>
      <c r="AO29" s="1167"/>
      <c r="AP29" s="1167"/>
      <c r="AQ29" s="1167"/>
      <c r="AR29" s="1167"/>
      <c r="AS29" s="1167"/>
      <c r="AT29" s="1167"/>
      <c r="AU29" s="1167"/>
      <c r="AV29" s="1167"/>
      <c r="AW29" s="1167"/>
      <c r="AX29" s="1167"/>
      <c r="AY29" s="1167"/>
      <c r="AZ29" s="1167"/>
      <c r="BA29" s="1167"/>
      <c r="BB29" s="1167"/>
      <c r="BC29" s="1167"/>
      <c r="BD29" s="1167"/>
      <c r="BE29" s="1167"/>
      <c r="BF29" s="1167"/>
      <c r="BG29" s="1167"/>
      <c r="BH29" s="1167"/>
      <c r="BI29" s="1167"/>
      <c r="BJ29" s="1167"/>
      <c r="BK29" s="1167"/>
      <c r="BL29" s="1167"/>
      <c r="BM29" s="1167"/>
      <c r="BN29" s="1167"/>
      <c r="BO29" s="1167"/>
      <c r="BP29" s="1167"/>
      <c r="BQ29" s="1167"/>
      <c r="BR29" s="1167"/>
      <c r="BS29" s="1167"/>
      <c r="BT29" s="1167"/>
      <c r="BU29" s="1167"/>
      <c r="BV29" s="1167"/>
      <c r="BW29" s="1167"/>
      <c r="BX29" s="1167"/>
      <c r="BY29" s="1167"/>
      <c r="BZ29" s="1167"/>
      <c r="CA29" s="1167"/>
      <c r="CB29" s="1155"/>
      <c r="CC29" s="1155"/>
      <c r="CD29" s="1155"/>
    </row>
    <row r="30" spans="1:82" s="1146" customFormat="1" ht="12.75" customHeight="1">
      <c r="A30" s="648" t="s">
        <v>284</v>
      </c>
      <c r="B30" s="1165">
        <v>57.174375</v>
      </c>
      <c r="C30" s="1165">
        <f>B30*1.057</f>
        <v>60.433314374999995</v>
      </c>
      <c r="D30" s="1165">
        <v>28.685399999999998</v>
      </c>
      <c r="E30" s="1165">
        <f>D30*1.057</f>
        <v>30.320467799999996</v>
      </c>
      <c r="F30" s="1165">
        <v>22.000428571428575</v>
      </c>
      <c r="G30" s="1165">
        <f>F30*1.057</f>
        <v>23.254453</v>
      </c>
      <c r="H30" s="1166">
        <v>60.615</v>
      </c>
      <c r="I30" s="1166">
        <v>19.297</v>
      </c>
      <c r="J30" s="1166">
        <v>16.556</v>
      </c>
      <c r="K30" s="1166">
        <v>16.556</v>
      </c>
      <c r="L30" s="1167">
        <v>15.4</v>
      </c>
      <c r="M30" s="1167">
        <v>59.7</v>
      </c>
      <c r="N30" s="1167">
        <v>16.138122391321293</v>
      </c>
      <c r="O30" s="1167">
        <v>71.42857142857143</v>
      </c>
      <c r="P30" s="1167"/>
      <c r="Q30" s="1167"/>
      <c r="R30" s="1167"/>
      <c r="S30" s="1167"/>
      <c r="T30" s="1167"/>
      <c r="U30" s="1167"/>
      <c r="V30" s="1167"/>
      <c r="W30" s="1167"/>
      <c r="X30" s="1167"/>
      <c r="Y30" s="1167"/>
      <c r="Z30" s="1167"/>
      <c r="AA30" s="1167"/>
      <c r="AB30" s="1167"/>
      <c r="AC30" s="1167"/>
      <c r="AD30" s="1167"/>
      <c r="AE30" s="1167"/>
      <c r="AF30" s="1167"/>
      <c r="AG30" s="1167"/>
      <c r="AH30" s="1167"/>
      <c r="AI30" s="1167"/>
      <c r="AJ30" s="1167"/>
      <c r="AK30" s="1167"/>
      <c r="AL30" s="1167"/>
      <c r="AM30" s="1167"/>
      <c r="AN30" s="1167"/>
      <c r="AO30" s="1167"/>
      <c r="AP30" s="1167"/>
      <c r="AQ30" s="1167"/>
      <c r="AR30" s="1167"/>
      <c r="AS30" s="1167"/>
      <c r="AT30" s="1167"/>
      <c r="AU30" s="1167"/>
      <c r="AV30" s="1167"/>
      <c r="AW30" s="1167"/>
      <c r="AX30" s="1167"/>
      <c r="AY30" s="1167"/>
      <c r="AZ30" s="1167"/>
      <c r="BA30" s="1167"/>
      <c r="BB30" s="1167"/>
      <c r="BC30" s="1167"/>
      <c r="BD30" s="1167"/>
      <c r="BE30" s="1167"/>
      <c r="BF30" s="1167"/>
      <c r="BG30" s="1167"/>
      <c r="BH30" s="1167"/>
      <c r="BI30" s="1167"/>
      <c r="BJ30" s="1167"/>
      <c r="BK30" s="1167"/>
      <c r="BL30" s="1167"/>
      <c r="BM30" s="1167"/>
      <c r="BN30" s="1167"/>
      <c r="BO30" s="1167"/>
      <c r="BP30" s="1167"/>
      <c r="BQ30" s="1167"/>
      <c r="BR30" s="1167"/>
      <c r="BS30" s="1167"/>
      <c r="BT30" s="1167"/>
      <c r="BU30" s="1167"/>
      <c r="BV30" s="1167"/>
      <c r="BW30" s="1167"/>
      <c r="BX30" s="1167"/>
      <c r="BY30" s="1167"/>
      <c r="BZ30" s="1167"/>
      <c r="CA30" s="1167"/>
      <c r="CB30" s="1155"/>
      <c r="CC30" s="1155"/>
      <c r="CD30" s="1155"/>
    </row>
    <row r="31" spans="1:82" s="1146" customFormat="1" ht="12.75" customHeight="1">
      <c r="A31" s="648" t="s">
        <v>288</v>
      </c>
      <c r="B31" s="1165">
        <v>18.898</v>
      </c>
      <c r="C31" s="1165">
        <f>B31</f>
        <v>18.898</v>
      </c>
      <c r="D31" s="1165">
        <v>1.7061999999999997</v>
      </c>
      <c r="E31" s="1165">
        <f>D31</f>
        <v>1.7061999999999997</v>
      </c>
      <c r="F31" s="1165">
        <v>2.656285714285714</v>
      </c>
      <c r="G31" s="1165">
        <f>F31</f>
        <v>2.656285714285714</v>
      </c>
      <c r="H31" s="1166">
        <v>30.192</v>
      </c>
      <c r="I31" s="1166">
        <v>24.453</v>
      </c>
      <c r="J31" s="1166">
        <v>21.895</v>
      </c>
      <c r="K31" s="1166">
        <v>21.895</v>
      </c>
      <c r="L31" s="1167">
        <v>2.2</v>
      </c>
      <c r="M31" s="1167">
        <v>5</v>
      </c>
      <c r="N31" s="1167">
        <v>2.095860050820947</v>
      </c>
      <c r="O31" s="1167">
        <v>10.000000000000002</v>
      </c>
      <c r="P31" s="1167"/>
      <c r="Q31" s="1167"/>
      <c r="R31" s="1167"/>
      <c r="S31" s="1167"/>
      <c r="T31" s="1167"/>
      <c r="U31" s="1167"/>
      <c r="V31" s="1167"/>
      <c r="W31" s="1167"/>
      <c r="X31" s="1167"/>
      <c r="Y31" s="1167"/>
      <c r="Z31" s="1167"/>
      <c r="AA31" s="1167"/>
      <c r="AB31" s="1167"/>
      <c r="AC31" s="1167"/>
      <c r="AD31" s="1167"/>
      <c r="AE31" s="1167"/>
      <c r="AF31" s="1167"/>
      <c r="AG31" s="1167"/>
      <c r="AH31" s="1167"/>
      <c r="AI31" s="1167"/>
      <c r="AJ31" s="1167"/>
      <c r="AK31" s="1167"/>
      <c r="AL31" s="1167"/>
      <c r="AM31" s="1167"/>
      <c r="AN31" s="1167"/>
      <c r="AO31" s="1167"/>
      <c r="AP31" s="1167"/>
      <c r="AQ31" s="1167"/>
      <c r="AR31" s="1167"/>
      <c r="AS31" s="1167"/>
      <c r="AT31" s="1167"/>
      <c r="AU31" s="1167"/>
      <c r="AV31" s="1167"/>
      <c r="AW31" s="1167"/>
      <c r="AX31" s="1167"/>
      <c r="AY31" s="1167"/>
      <c r="AZ31" s="1167"/>
      <c r="BA31" s="1167"/>
      <c r="BB31" s="1167"/>
      <c r="BC31" s="1167"/>
      <c r="BD31" s="1167"/>
      <c r="BE31" s="1167"/>
      <c r="BF31" s="1167"/>
      <c r="BG31" s="1167"/>
      <c r="BH31" s="1167"/>
      <c r="BI31" s="1167"/>
      <c r="BJ31" s="1167"/>
      <c r="BK31" s="1167"/>
      <c r="BL31" s="1167"/>
      <c r="BM31" s="1167"/>
      <c r="BN31" s="1167"/>
      <c r="BO31" s="1167"/>
      <c r="BP31" s="1167"/>
      <c r="BQ31" s="1167"/>
      <c r="BR31" s="1167"/>
      <c r="BS31" s="1167"/>
      <c r="BT31" s="1167"/>
      <c r="BU31" s="1167"/>
      <c r="BV31" s="1167"/>
      <c r="BW31" s="1167"/>
      <c r="BX31" s="1167"/>
      <c r="BY31" s="1167"/>
      <c r="BZ31" s="1167"/>
      <c r="CA31" s="1167"/>
      <c r="CB31" s="1155"/>
      <c r="CC31" s="1155"/>
      <c r="CD31" s="1155"/>
    </row>
    <row r="32" spans="1:82" s="1168" customFormat="1" ht="12.75" customHeight="1">
      <c r="A32" s="1161" t="s">
        <v>438</v>
      </c>
      <c r="B32" s="1162">
        <f aca="true" t="shared" si="7" ref="B32:O32">B33+B34+B35+B36</f>
        <v>375.94312499999995</v>
      </c>
      <c r="C32" s="1162">
        <f t="shared" si="7"/>
        <v>375.76904064999997</v>
      </c>
      <c r="D32" s="1162">
        <f t="shared" si="7"/>
        <v>190.64020000000002</v>
      </c>
      <c r="E32" s="1162">
        <f t="shared" si="7"/>
        <v>190.74313732</v>
      </c>
      <c r="F32" s="1162">
        <f t="shared" si="7"/>
        <v>145.92114285714285</v>
      </c>
      <c r="G32" s="1162">
        <f t="shared" si="7"/>
        <v>146.4111121142857</v>
      </c>
      <c r="H32" s="1162">
        <f t="shared" si="7"/>
        <v>188.153</v>
      </c>
      <c r="I32" s="1162">
        <f t="shared" si="7"/>
        <v>118.844</v>
      </c>
      <c r="J32" s="1162">
        <f t="shared" si="7"/>
        <v>90.889</v>
      </c>
      <c r="K32" s="1162">
        <f t="shared" si="7"/>
        <v>90.889</v>
      </c>
      <c r="L32" s="1162">
        <f t="shared" si="7"/>
        <v>131.2136839773557</v>
      </c>
      <c r="M32" s="1162">
        <f t="shared" si="7"/>
        <v>265.7</v>
      </c>
      <c r="N32" s="1162">
        <f t="shared" si="7"/>
        <v>109.47951242266892</v>
      </c>
      <c r="O32" s="1162">
        <f t="shared" si="7"/>
        <v>677.6285714285714</v>
      </c>
      <c r="P32" s="1163"/>
      <c r="Q32" s="1163"/>
      <c r="R32" s="1163"/>
      <c r="S32" s="1163"/>
      <c r="T32" s="1163"/>
      <c r="U32" s="1163"/>
      <c r="V32" s="1163"/>
      <c r="W32" s="1163"/>
      <c r="X32" s="1163"/>
      <c r="Y32" s="1163"/>
      <c r="Z32" s="1163"/>
      <c r="AA32" s="1163"/>
      <c r="AB32" s="1163"/>
      <c r="AC32" s="1163"/>
      <c r="AD32" s="1163"/>
      <c r="AE32" s="1163"/>
      <c r="AF32" s="1163"/>
      <c r="AG32" s="1163"/>
      <c r="AH32" s="1163"/>
      <c r="AI32" s="1163"/>
      <c r="AJ32" s="1163"/>
      <c r="AK32" s="1163"/>
      <c r="AL32" s="1163"/>
      <c r="AM32" s="1163"/>
      <c r="AN32" s="1163"/>
      <c r="AO32" s="1163"/>
      <c r="AP32" s="1163"/>
      <c r="AQ32" s="1163"/>
      <c r="AR32" s="1163"/>
      <c r="AS32" s="1163"/>
      <c r="AT32" s="1163"/>
      <c r="AU32" s="1163"/>
      <c r="AV32" s="1163"/>
      <c r="AW32" s="1163"/>
      <c r="AX32" s="1163"/>
      <c r="AY32" s="1163"/>
      <c r="AZ32" s="1163"/>
      <c r="BA32" s="1163"/>
      <c r="BB32" s="1163"/>
      <c r="BC32" s="1163"/>
      <c r="BD32" s="1163"/>
      <c r="BE32" s="1163"/>
      <c r="BF32" s="1163"/>
      <c r="BG32" s="1163"/>
      <c r="BH32" s="1163"/>
      <c r="BI32" s="1163"/>
      <c r="BJ32" s="1163"/>
      <c r="BK32" s="1163"/>
      <c r="BL32" s="1163"/>
      <c r="BM32" s="1163"/>
      <c r="BN32" s="1163"/>
      <c r="BO32" s="1163"/>
      <c r="BP32" s="1163"/>
      <c r="BQ32" s="1163"/>
      <c r="BR32" s="1163"/>
      <c r="BS32" s="1163"/>
      <c r="BT32" s="1163"/>
      <c r="BU32" s="1163"/>
      <c r="BV32" s="1163"/>
      <c r="BW32" s="1163"/>
      <c r="BX32" s="1163"/>
      <c r="BY32" s="1163"/>
      <c r="BZ32" s="1163"/>
      <c r="CA32" s="1163"/>
      <c r="CB32" s="1155"/>
      <c r="CC32" s="1155"/>
      <c r="CD32" s="1155"/>
    </row>
    <row r="33" spans="1:82" s="1146" customFormat="1" ht="12.75" customHeight="1">
      <c r="A33" s="648" t="s">
        <v>292</v>
      </c>
      <c r="B33" s="1165">
        <v>145.257625</v>
      </c>
      <c r="C33" s="1165">
        <f>B33*1.002</f>
        <v>145.54814025</v>
      </c>
      <c r="D33" s="1165">
        <v>108.3394</v>
      </c>
      <c r="E33" s="1165">
        <f>D33*1.002</f>
        <v>108.5560788</v>
      </c>
      <c r="F33" s="1165">
        <v>72.14142857142858</v>
      </c>
      <c r="G33" s="1165">
        <f>F33*1.002</f>
        <v>72.28571142857143</v>
      </c>
      <c r="H33" s="1166">
        <v>92.788</v>
      </c>
      <c r="I33" s="1166">
        <v>47.891</v>
      </c>
      <c r="J33" s="1166">
        <v>35.033</v>
      </c>
      <c r="K33" s="1166">
        <v>35.033</v>
      </c>
      <c r="L33" s="1167">
        <v>43.7</v>
      </c>
      <c r="M33" s="1167">
        <v>159</v>
      </c>
      <c r="N33" s="1167">
        <v>41.32311195920986</v>
      </c>
      <c r="O33" s="1167">
        <v>231.42857142857142</v>
      </c>
      <c r="P33" s="1167"/>
      <c r="Q33" s="1167"/>
      <c r="R33" s="1167"/>
      <c r="S33" s="1167"/>
      <c r="T33" s="1167"/>
      <c r="U33" s="1167"/>
      <c r="V33" s="1167"/>
      <c r="W33" s="1167"/>
      <c r="X33" s="1167"/>
      <c r="Y33" s="1167"/>
      <c r="Z33" s="1167"/>
      <c r="AA33" s="1167"/>
      <c r="AB33" s="1167"/>
      <c r="AC33" s="1167"/>
      <c r="AD33" s="1167"/>
      <c r="AE33" s="1167"/>
      <c r="AF33" s="1167"/>
      <c r="AG33" s="1167"/>
      <c r="AH33" s="1167"/>
      <c r="AI33" s="1167"/>
      <c r="AJ33" s="1167"/>
      <c r="AK33" s="1167"/>
      <c r="AL33" s="1167"/>
      <c r="AM33" s="1167"/>
      <c r="AN33" s="1167"/>
      <c r="AO33" s="1167"/>
      <c r="AP33" s="1167"/>
      <c r="AQ33" s="1167"/>
      <c r="AR33" s="1167"/>
      <c r="AS33" s="1167"/>
      <c r="AT33" s="1167"/>
      <c r="AU33" s="1167"/>
      <c r="AV33" s="1167"/>
      <c r="AW33" s="1167"/>
      <c r="AX33" s="1167"/>
      <c r="AY33" s="1167"/>
      <c r="AZ33" s="1167"/>
      <c r="BA33" s="1167"/>
      <c r="BB33" s="1167"/>
      <c r="BC33" s="1167"/>
      <c r="BD33" s="1167"/>
      <c r="BE33" s="1167"/>
      <c r="BF33" s="1167"/>
      <c r="BG33" s="1167"/>
      <c r="BH33" s="1167"/>
      <c r="BI33" s="1167"/>
      <c r="BJ33" s="1167"/>
      <c r="BK33" s="1167"/>
      <c r="BL33" s="1167"/>
      <c r="BM33" s="1167"/>
      <c r="BN33" s="1167"/>
      <c r="BO33" s="1167"/>
      <c r="BP33" s="1167"/>
      <c r="BQ33" s="1167"/>
      <c r="BR33" s="1167"/>
      <c r="BS33" s="1167"/>
      <c r="BT33" s="1167"/>
      <c r="BU33" s="1167"/>
      <c r="BV33" s="1167"/>
      <c r="BW33" s="1167"/>
      <c r="BX33" s="1167"/>
      <c r="BY33" s="1167"/>
      <c r="BZ33" s="1167"/>
      <c r="CA33" s="1167"/>
      <c r="CB33" s="1155"/>
      <c r="CC33" s="1155"/>
      <c r="CD33" s="1155"/>
    </row>
    <row r="34" spans="1:82" s="1146" customFormat="1" ht="12.75" customHeight="1">
      <c r="A34" s="648" t="s">
        <v>439</v>
      </c>
      <c r="B34" s="1165">
        <v>54.210249999999995</v>
      </c>
      <c r="C34" s="1165">
        <f>B34*1.015</f>
        <v>55.02340374999999</v>
      </c>
      <c r="D34" s="1176">
        <v>20.770400000000002</v>
      </c>
      <c r="E34" s="1176">
        <f>D34*1.015</f>
        <v>21.081956</v>
      </c>
      <c r="F34" s="1176">
        <v>30.280857142857144</v>
      </c>
      <c r="G34" s="1176">
        <f>F34*1.015</f>
        <v>30.735069999999997</v>
      </c>
      <c r="H34" s="1166">
        <v>48.269</v>
      </c>
      <c r="I34" s="1166">
        <v>43.281</v>
      </c>
      <c r="J34" s="1166">
        <v>31.961</v>
      </c>
      <c r="K34" s="1166">
        <v>31.961</v>
      </c>
      <c r="L34" s="1167">
        <v>45.881541120212844</v>
      </c>
      <c r="M34" s="1167">
        <v>41.9</v>
      </c>
      <c r="N34" s="1167">
        <v>40.514929243103396</v>
      </c>
      <c r="O34" s="1167">
        <v>45.42857142857143</v>
      </c>
      <c r="P34" s="1167"/>
      <c r="Q34" s="1167"/>
      <c r="R34" s="1167"/>
      <c r="S34" s="1167"/>
      <c r="T34" s="1167"/>
      <c r="U34" s="1167"/>
      <c r="V34" s="1167"/>
      <c r="W34" s="1167"/>
      <c r="X34" s="1167"/>
      <c r="Y34" s="1167"/>
      <c r="Z34" s="1167"/>
      <c r="AA34" s="1167"/>
      <c r="AB34" s="1167"/>
      <c r="AC34" s="1167"/>
      <c r="AD34" s="1167"/>
      <c r="AE34" s="1167"/>
      <c r="AF34" s="1167"/>
      <c r="AG34" s="1167"/>
      <c r="AH34" s="1167"/>
      <c r="AI34" s="1167"/>
      <c r="AJ34" s="1167"/>
      <c r="AK34" s="1167"/>
      <c r="AL34" s="1167"/>
      <c r="AM34" s="1167"/>
      <c r="AN34" s="1167"/>
      <c r="AO34" s="1167"/>
      <c r="AP34" s="1167"/>
      <c r="AQ34" s="1167"/>
      <c r="AR34" s="1167"/>
      <c r="AS34" s="1167"/>
      <c r="AT34" s="1167"/>
      <c r="AU34" s="1167"/>
      <c r="AV34" s="1167"/>
      <c r="AW34" s="1167"/>
      <c r="AX34" s="1167"/>
      <c r="AY34" s="1167"/>
      <c r="AZ34" s="1167"/>
      <c r="BA34" s="1167"/>
      <c r="BB34" s="1167"/>
      <c r="BC34" s="1167"/>
      <c r="BD34" s="1167"/>
      <c r="BE34" s="1167"/>
      <c r="BF34" s="1167"/>
      <c r="BG34" s="1167"/>
      <c r="BH34" s="1167"/>
      <c r="BI34" s="1167"/>
      <c r="BJ34" s="1167"/>
      <c r="BK34" s="1167"/>
      <c r="BL34" s="1167"/>
      <c r="BM34" s="1167"/>
      <c r="BN34" s="1167"/>
      <c r="BO34" s="1167"/>
      <c r="BP34" s="1167"/>
      <c r="BQ34" s="1167"/>
      <c r="BR34" s="1167"/>
      <c r="BS34" s="1167"/>
      <c r="BT34" s="1167"/>
      <c r="BU34" s="1167"/>
      <c r="BV34" s="1167"/>
      <c r="BW34" s="1167"/>
      <c r="BX34" s="1167"/>
      <c r="BY34" s="1167"/>
      <c r="BZ34" s="1167"/>
      <c r="CA34" s="1167"/>
      <c r="CB34" s="1155"/>
      <c r="CC34" s="1155"/>
      <c r="CD34" s="1155"/>
    </row>
    <row r="35" spans="1:82" s="1146" customFormat="1" ht="12.75" customHeight="1">
      <c r="A35" s="648" t="s">
        <v>300</v>
      </c>
      <c r="B35" s="1165">
        <v>133.66425</v>
      </c>
      <c r="C35" s="1165">
        <f>B35*0.98*1.01</f>
        <v>132.30087465000003</v>
      </c>
      <c r="D35" s="1165">
        <v>44.9474</v>
      </c>
      <c r="E35" s="1165">
        <f>D35*1.01*0.98</f>
        <v>44.48893652</v>
      </c>
      <c r="F35" s="1165">
        <v>16.026571428571426</v>
      </c>
      <c r="G35" s="1165">
        <f>F35*1.01*0.98</f>
        <v>15.863100399999997</v>
      </c>
      <c r="H35" s="1166">
        <v>0</v>
      </c>
      <c r="I35" s="1166">
        <v>0</v>
      </c>
      <c r="J35" s="1166">
        <v>0</v>
      </c>
      <c r="K35" s="1166">
        <v>0</v>
      </c>
      <c r="L35" s="1167">
        <v>14.732142857142858</v>
      </c>
      <c r="M35" s="1167">
        <v>0</v>
      </c>
      <c r="N35" s="1167">
        <v>0</v>
      </c>
      <c r="O35" s="1167">
        <v>342.85714285714283</v>
      </c>
      <c r="P35" s="1167"/>
      <c r="Q35" s="1167"/>
      <c r="R35" s="1167"/>
      <c r="S35" s="1167"/>
      <c r="T35" s="1167"/>
      <c r="U35" s="1167"/>
      <c r="V35" s="1167"/>
      <c r="W35" s="1167"/>
      <c r="X35" s="1167"/>
      <c r="Y35" s="1167"/>
      <c r="Z35" s="1167"/>
      <c r="AA35" s="1167"/>
      <c r="AB35" s="1167"/>
      <c r="AC35" s="1167"/>
      <c r="AD35" s="1167"/>
      <c r="AE35" s="1167"/>
      <c r="AF35" s="1167"/>
      <c r="AG35" s="1167"/>
      <c r="AH35" s="1167"/>
      <c r="AI35" s="1167"/>
      <c r="AJ35" s="1167"/>
      <c r="AK35" s="1167"/>
      <c r="AL35" s="1167"/>
      <c r="AM35" s="1167"/>
      <c r="AN35" s="1167"/>
      <c r="AO35" s="1167"/>
      <c r="AP35" s="1167"/>
      <c r="AQ35" s="1167"/>
      <c r="AR35" s="1167"/>
      <c r="AS35" s="1167"/>
      <c r="AT35" s="1167"/>
      <c r="AU35" s="1167"/>
      <c r="AV35" s="1167"/>
      <c r="AW35" s="1167"/>
      <c r="AX35" s="1167"/>
      <c r="AY35" s="1167"/>
      <c r="AZ35" s="1167"/>
      <c r="BA35" s="1167"/>
      <c r="BB35" s="1167"/>
      <c r="BC35" s="1167"/>
      <c r="BD35" s="1167"/>
      <c r="BE35" s="1167"/>
      <c r="BF35" s="1167"/>
      <c r="BG35" s="1167"/>
      <c r="BH35" s="1167"/>
      <c r="BI35" s="1167"/>
      <c r="BJ35" s="1167"/>
      <c r="BK35" s="1167"/>
      <c r="BL35" s="1167"/>
      <c r="BM35" s="1167"/>
      <c r="BN35" s="1167"/>
      <c r="BO35" s="1167"/>
      <c r="BP35" s="1167"/>
      <c r="BQ35" s="1167"/>
      <c r="BR35" s="1167"/>
      <c r="BS35" s="1167"/>
      <c r="BT35" s="1167"/>
      <c r="BU35" s="1167"/>
      <c r="BV35" s="1167"/>
      <c r="BW35" s="1167"/>
      <c r="BX35" s="1167"/>
      <c r="BY35" s="1167"/>
      <c r="BZ35" s="1167"/>
      <c r="CA35" s="1167"/>
      <c r="CB35" s="1155"/>
      <c r="CC35" s="1155"/>
      <c r="CD35" s="1155"/>
    </row>
    <row r="36" spans="1:82" s="1146" customFormat="1" ht="12.75" customHeight="1">
      <c r="A36" s="648" t="s">
        <v>304</v>
      </c>
      <c r="B36" s="1165">
        <v>42.811</v>
      </c>
      <c r="C36" s="1165">
        <f>B36*1.002</f>
        <v>42.896622</v>
      </c>
      <c r="D36" s="1165">
        <v>16.583</v>
      </c>
      <c r="E36" s="1165">
        <f>D36*1.002</f>
        <v>16.616166</v>
      </c>
      <c r="F36" s="1165">
        <v>27.47228571428571</v>
      </c>
      <c r="G36" s="1165">
        <f>F36*1.002</f>
        <v>27.527230285714282</v>
      </c>
      <c r="H36" s="1166">
        <v>47.096</v>
      </c>
      <c r="I36" s="1166">
        <v>27.672</v>
      </c>
      <c r="J36" s="1166">
        <v>23.895</v>
      </c>
      <c r="K36" s="1166">
        <v>23.895</v>
      </c>
      <c r="L36" s="1167">
        <v>26.9</v>
      </c>
      <c r="M36" s="1167">
        <v>64.8</v>
      </c>
      <c r="N36" s="1167">
        <v>27.64147122035566</v>
      </c>
      <c r="O36" s="1167">
        <v>57.91428571428571</v>
      </c>
      <c r="P36" s="1167"/>
      <c r="Q36" s="1167"/>
      <c r="R36" s="1167"/>
      <c r="S36" s="1167"/>
      <c r="T36" s="1167"/>
      <c r="U36" s="1167"/>
      <c r="V36" s="1167"/>
      <c r="W36" s="1167"/>
      <c r="X36" s="1167"/>
      <c r="Y36" s="1167"/>
      <c r="Z36" s="1167"/>
      <c r="AA36" s="1167"/>
      <c r="AB36" s="1167"/>
      <c r="AC36" s="1167"/>
      <c r="AD36" s="1167"/>
      <c r="AE36" s="1167"/>
      <c r="AF36" s="1167"/>
      <c r="AG36" s="1167"/>
      <c r="AH36" s="1167"/>
      <c r="AI36" s="1167"/>
      <c r="AJ36" s="1167"/>
      <c r="AK36" s="1167"/>
      <c r="AL36" s="1167"/>
      <c r="AM36" s="1167"/>
      <c r="AN36" s="1167"/>
      <c r="AO36" s="1167"/>
      <c r="AP36" s="1167"/>
      <c r="AQ36" s="1167"/>
      <c r="AR36" s="1167"/>
      <c r="AS36" s="1167"/>
      <c r="AT36" s="1167"/>
      <c r="AU36" s="1167"/>
      <c r="AV36" s="1167"/>
      <c r="AW36" s="1167"/>
      <c r="AX36" s="1167"/>
      <c r="AY36" s="1167"/>
      <c r="AZ36" s="1167"/>
      <c r="BA36" s="1167"/>
      <c r="BB36" s="1167"/>
      <c r="BC36" s="1167"/>
      <c r="BD36" s="1167"/>
      <c r="BE36" s="1167"/>
      <c r="BF36" s="1167"/>
      <c r="BG36" s="1167"/>
      <c r="BH36" s="1167"/>
      <c r="BI36" s="1167"/>
      <c r="BJ36" s="1167"/>
      <c r="BK36" s="1167"/>
      <c r="BL36" s="1167"/>
      <c r="BM36" s="1167"/>
      <c r="BN36" s="1167"/>
      <c r="BO36" s="1167"/>
      <c r="BP36" s="1167"/>
      <c r="BQ36" s="1167"/>
      <c r="BR36" s="1167"/>
      <c r="BS36" s="1167"/>
      <c r="BT36" s="1167"/>
      <c r="BU36" s="1167"/>
      <c r="BV36" s="1167"/>
      <c r="BW36" s="1167"/>
      <c r="BX36" s="1167"/>
      <c r="BY36" s="1167"/>
      <c r="BZ36" s="1167"/>
      <c r="CA36" s="1167"/>
      <c r="CB36" s="1155"/>
      <c r="CC36" s="1155"/>
      <c r="CD36" s="1155"/>
    </row>
    <row r="37" spans="1:82" s="1146" customFormat="1" ht="12.75" customHeight="1">
      <c r="A37" s="1158" t="s">
        <v>831</v>
      </c>
      <c r="B37" s="1159">
        <f aca="true" t="shared" si="8" ref="B37:O37">B38+B39</f>
        <v>333.5535</v>
      </c>
      <c r="C37" s="1159">
        <f t="shared" si="8"/>
        <v>333.7536635</v>
      </c>
      <c r="D37" s="1159">
        <f t="shared" si="8"/>
        <v>153.6782</v>
      </c>
      <c r="E37" s="1159">
        <f t="shared" si="8"/>
        <v>153.7309854</v>
      </c>
      <c r="F37" s="1159">
        <f t="shared" si="8"/>
        <v>154.7164285714286</v>
      </c>
      <c r="G37" s="1159">
        <f t="shared" si="8"/>
        <v>154.79302585714285</v>
      </c>
      <c r="H37" s="1159">
        <f t="shared" si="8"/>
        <v>243.212</v>
      </c>
      <c r="I37" s="1159">
        <f t="shared" si="8"/>
        <v>114.828</v>
      </c>
      <c r="J37" s="1159">
        <f t="shared" si="8"/>
        <v>94.325</v>
      </c>
      <c r="K37" s="1159">
        <f t="shared" si="8"/>
        <v>94.325</v>
      </c>
      <c r="L37" s="1159">
        <f t="shared" si="8"/>
        <v>175.4</v>
      </c>
      <c r="M37" s="1159">
        <f t="shared" si="8"/>
        <v>448.9</v>
      </c>
      <c r="N37" s="1159">
        <f t="shared" si="8"/>
        <v>197.36788029841216</v>
      </c>
      <c r="O37" s="1159">
        <f t="shared" si="8"/>
        <v>442.1714285714286</v>
      </c>
      <c r="P37" s="1160"/>
      <c r="Q37" s="1160"/>
      <c r="R37" s="1160"/>
      <c r="S37" s="1160"/>
      <c r="T37" s="1160"/>
      <c r="U37" s="1160"/>
      <c r="V37" s="1160"/>
      <c r="W37" s="1160"/>
      <c r="X37" s="1160"/>
      <c r="Y37" s="1160"/>
      <c r="Z37" s="1160"/>
      <c r="AA37" s="1160"/>
      <c r="AB37" s="1160"/>
      <c r="AC37" s="1160"/>
      <c r="AD37" s="1160"/>
      <c r="AE37" s="1160"/>
      <c r="AF37" s="1160"/>
      <c r="AG37" s="1160"/>
      <c r="AH37" s="1160"/>
      <c r="AI37" s="1160"/>
      <c r="AJ37" s="1160"/>
      <c r="AK37" s="1160"/>
      <c r="AL37" s="1160"/>
      <c r="AM37" s="1160"/>
      <c r="AN37" s="1160"/>
      <c r="AO37" s="1160"/>
      <c r="AP37" s="1160"/>
      <c r="AQ37" s="1160"/>
      <c r="AR37" s="1160"/>
      <c r="AS37" s="1160"/>
      <c r="AT37" s="1160"/>
      <c r="AU37" s="1160"/>
      <c r="AV37" s="1160"/>
      <c r="AW37" s="1160"/>
      <c r="AX37" s="1160"/>
      <c r="AY37" s="1160"/>
      <c r="AZ37" s="1160"/>
      <c r="BA37" s="1160"/>
      <c r="BB37" s="1160"/>
      <c r="BC37" s="1160"/>
      <c r="BD37" s="1160"/>
      <c r="BE37" s="1160"/>
      <c r="BF37" s="1160"/>
      <c r="BG37" s="1160"/>
      <c r="BH37" s="1160"/>
      <c r="BI37" s="1160"/>
      <c r="BJ37" s="1160"/>
      <c r="BK37" s="1160"/>
      <c r="BL37" s="1160"/>
      <c r="BM37" s="1160"/>
      <c r="BN37" s="1160"/>
      <c r="BO37" s="1160"/>
      <c r="BP37" s="1160"/>
      <c r="BQ37" s="1160"/>
      <c r="BR37" s="1160"/>
      <c r="BS37" s="1160"/>
      <c r="BT37" s="1160"/>
      <c r="BU37" s="1160"/>
      <c r="BV37" s="1160"/>
      <c r="BW37" s="1160"/>
      <c r="BX37" s="1160"/>
      <c r="BY37" s="1160"/>
      <c r="BZ37" s="1160"/>
      <c r="CA37" s="1160"/>
      <c r="CB37" s="1155"/>
      <c r="CC37" s="1155"/>
      <c r="CD37" s="1155"/>
    </row>
    <row r="38" spans="1:82" s="1146" customFormat="1" ht="12.75" customHeight="1">
      <c r="A38" s="648" t="s">
        <v>967</v>
      </c>
      <c r="B38" s="1165">
        <v>200.1635</v>
      </c>
      <c r="C38" s="1165">
        <f>B38*1.001</f>
        <v>200.36366349999997</v>
      </c>
      <c r="D38" s="1165">
        <v>52.7854</v>
      </c>
      <c r="E38" s="1165">
        <f>D38*1.001</f>
        <v>52.8381854</v>
      </c>
      <c r="F38" s="1165">
        <v>76.59728571428572</v>
      </c>
      <c r="G38" s="1165">
        <f>F38*1.001</f>
        <v>76.67388299999999</v>
      </c>
      <c r="H38" s="1166">
        <v>52.827</v>
      </c>
      <c r="I38" s="1166">
        <v>66.406</v>
      </c>
      <c r="J38" s="1166">
        <v>30.94</v>
      </c>
      <c r="K38" s="1166">
        <v>30.94</v>
      </c>
      <c r="L38" s="1167">
        <v>62.4</v>
      </c>
      <c r="M38" s="1167">
        <v>211.1</v>
      </c>
      <c r="N38" s="1167">
        <v>71.55759316773234</v>
      </c>
      <c r="O38" s="1167">
        <v>204.0857142857143</v>
      </c>
      <c r="P38" s="1167"/>
      <c r="Q38" s="1167"/>
      <c r="R38" s="1167"/>
      <c r="S38" s="1167"/>
      <c r="T38" s="1167"/>
      <c r="U38" s="1167"/>
      <c r="V38" s="1167"/>
      <c r="W38" s="1167"/>
      <c r="X38" s="1167"/>
      <c r="Y38" s="1167"/>
      <c r="Z38" s="1167"/>
      <c r="AA38" s="1167"/>
      <c r="AB38" s="1167"/>
      <c r="AC38" s="1167"/>
      <c r="AD38" s="1167"/>
      <c r="AE38" s="1167"/>
      <c r="AF38" s="1167"/>
      <c r="AG38" s="1167"/>
      <c r="AH38" s="1167"/>
      <c r="AI38" s="1167"/>
      <c r="AJ38" s="1167"/>
      <c r="AK38" s="1167"/>
      <c r="AL38" s="1167"/>
      <c r="AM38" s="1167"/>
      <c r="AN38" s="1167"/>
      <c r="AO38" s="1167"/>
      <c r="AP38" s="1167"/>
      <c r="AQ38" s="1167"/>
      <c r="AR38" s="1167"/>
      <c r="AS38" s="1167"/>
      <c r="AT38" s="1167"/>
      <c r="AU38" s="1167"/>
      <c r="AV38" s="1167"/>
      <c r="AW38" s="1167"/>
      <c r="AX38" s="1167"/>
      <c r="AY38" s="1167"/>
      <c r="AZ38" s="1167"/>
      <c r="BA38" s="1167"/>
      <c r="BB38" s="1167"/>
      <c r="BC38" s="1167"/>
      <c r="BD38" s="1167"/>
      <c r="BE38" s="1167"/>
      <c r="BF38" s="1167"/>
      <c r="BG38" s="1167"/>
      <c r="BH38" s="1167"/>
      <c r="BI38" s="1167"/>
      <c r="BJ38" s="1167"/>
      <c r="BK38" s="1167"/>
      <c r="BL38" s="1167"/>
      <c r="BM38" s="1167"/>
      <c r="BN38" s="1167"/>
      <c r="BO38" s="1167"/>
      <c r="BP38" s="1167"/>
      <c r="BQ38" s="1167"/>
      <c r="BR38" s="1167"/>
      <c r="BS38" s="1167"/>
      <c r="BT38" s="1167"/>
      <c r="BU38" s="1167"/>
      <c r="BV38" s="1167"/>
      <c r="BW38" s="1167"/>
      <c r="BX38" s="1167"/>
      <c r="BY38" s="1167"/>
      <c r="BZ38" s="1167"/>
      <c r="CA38" s="1167"/>
      <c r="CB38" s="1155"/>
      <c r="CC38" s="1155"/>
      <c r="CD38" s="1155"/>
    </row>
    <row r="39" spans="1:82" s="1146" customFormat="1" ht="12.75" customHeight="1">
      <c r="A39" s="648" t="s">
        <v>968</v>
      </c>
      <c r="B39" s="1165">
        <v>133.39000000000001</v>
      </c>
      <c r="C39" s="1165">
        <f>B39</f>
        <v>133.39000000000001</v>
      </c>
      <c r="D39" s="1165">
        <v>100.8928</v>
      </c>
      <c r="E39" s="1165">
        <f>D39</f>
        <v>100.8928</v>
      </c>
      <c r="F39" s="1165">
        <v>78.11914285714286</v>
      </c>
      <c r="G39" s="1165">
        <f>F39</f>
        <v>78.11914285714286</v>
      </c>
      <c r="H39" s="1166">
        <v>190.385</v>
      </c>
      <c r="I39" s="1166">
        <v>48.422</v>
      </c>
      <c r="J39" s="1166">
        <v>63.385</v>
      </c>
      <c r="K39" s="1166">
        <v>63.385</v>
      </c>
      <c r="L39" s="1167">
        <v>113</v>
      </c>
      <c r="M39" s="1167">
        <v>237.8</v>
      </c>
      <c r="N39" s="1167">
        <v>125.81028713067984</v>
      </c>
      <c r="O39" s="1167">
        <v>238.0857142857143</v>
      </c>
      <c r="P39" s="1167"/>
      <c r="Q39" s="1167"/>
      <c r="R39" s="1167"/>
      <c r="S39" s="1167"/>
      <c r="T39" s="1167"/>
      <c r="U39" s="1167"/>
      <c r="V39" s="1167"/>
      <c r="W39" s="1167"/>
      <c r="X39" s="1167"/>
      <c r="Y39" s="1167"/>
      <c r="Z39" s="1167"/>
      <c r="AA39" s="1167"/>
      <c r="AB39" s="1167"/>
      <c r="AC39" s="1167"/>
      <c r="AD39" s="1167"/>
      <c r="AE39" s="1167"/>
      <c r="AF39" s="1167"/>
      <c r="AG39" s="1167"/>
      <c r="AH39" s="1167"/>
      <c r="AI39" s="1167"/>
      <c r="AJ39" s="1167"/>
      <c r="AK39" s="1167"/>
      <c r="AL39" s="1167"/>
      <c r="AM39" s="1167"/>
      <c r="AN39" s="1167"/>
      <c r="AO39" s="1167"/>
      <c r="AP39" s="1167"/>
      <c r="AQ39" s="1167"/>
      <c r="AR39" s="1167"/>
      <c r="AS39" s="1167"/>
      <c r="AT39" s="1167"/>
      <c r="AU39" s="1167"/>
      <c r="AV39" s="1167"/>
      <c r="AW39" s="1167"/>
      <c r="AX39" s="1167"/>
      <c r="AY39" s="1167"/>
      <c r="AZ39" s="1167"/>
      <c r="BA39" s="1167"/>
      <c r="BB39" s="1167"/>
      <c r="BC39" s="1167"/>
      <c r="BD39" s="1167"/>
      <c r="BE39" s="1167"/>
      <c r="BF39" s="1167"/>
      <c r="BG39" s="1167"/>
      <c r="BH39" s="1167"/>
      <c r="BI39" s="1167"/>
      <c r="BJ39" s="1167"/>
      <c r="BK39" s="1167"/>
      <c r="BL39" s="1167"/>
      <c r="BM39" s="1167"/>
      <c r="BN39" s="1167"/>
      <c r="BO39" s="1167"/>
      <c r="BP39" s="1167"/>
      <c r="BQ39" s="1167"/>
      <c r="BR39" s="1167"/>
      <c r="BS39" s="1167"/>
      <c r="BT39" s="1167"/>
      <c r="BU39" s="1167"/>
      <c r="BV39" s="1167"/>
      <c r="BW39" s="1167"/>
      <c r="BX39" s="1167"/>
      <c r="BY39" s="1167"/>
      <c r="BZ39" s="1167"/>
      <c r="CA39" s="1167"/>
      <c r="CB39" s="1155"/>
      <c r="CC39" s="1155"/>
      <c r="CD39" s="1155"/>
    </row>
    <row r="40" spans="1:82" s="1146" customFormat="1" ht="12.75" customHeight="1">
      <c r="A40" s="1158" t="s">
        <v>837</v>
      </c>
      <c r="B40" s="1159">
        <f aca="true" t="shared" si="9" ref="B40:O40">B41+B42+B43</f>
        <v>970.921</v>
      </c>
      <c r="C40" s="1159">
        <f t="shared" si="9"/>
        <v>961.88561375</v>
      </c>
      <c r="D40" s="1159">
        <f t="shared" si="9"/>
        <v>578.6616</v>
      </c>
      <c r="E40" s="1159">
        <f t="shared" si="9"/>
        <v>574.12244392</v>
      </c>
      <c r="F40" s="1159">
        <f t="shared" si="9"/>
        <v>342.22714285714284</v>
      </c>
      <c r="G40" s="1159">
        <f t="shared" si="9"/>
        <v>339.01205162857144</v>
      </c>
      <c r="H40" s="1159">
        <f t="shared" si="9"/>
        <v>1017</v>
      </c>
      <c r="I40" s="1159">
        <f t="shared" si="9"/>
        <v>206.578</v>
      </c>
      <c r="J40" s="1159">
        <f t="shared" si="9"/>
        <v>172.824</v>
      </c>
      <c r="K40" s="1159">
        <f t="shared" si="9"/>
        <v>172.824</v>
      </c>
      <c r="L40" s="1159">
        <f t="shared" si="9"/>
        <v>240.6</v>
      </c>
      <c r="M40" s="1159">
        <f t="shared" si="9"/>
        <v>1026.6</v>
      </c>
      <c r="N40" s="1159">
        <f t="shared" si="9"/>
        <v>232.78108312321822</v>
      </c>
      <c r="O40" s="1159">
        <f t="shared" si="9"/>
        <v>1056.524444444441</v>
      </c>
      <c r="P40" s="1160"/>
      <c r="Q40" s="1160"/>
      <c r="R40" s="1160"/>
      <c r="S40" s="1160"/>
      <c r="T40" s="1160"/>
      <c r="U40" s="1160"/>
      <c r="V40" s="1160"/>
      <c r="W40" s="1160"/>
      <c r="X40" s="1160"/>
      <c r="Y40" s="1160"/>
      <c r="Z40" s="1160"/>
      <c r="AA40" s="1160"/>
      <c r="AB40" s="1160"/>
      <c r="AC40" s="1160"/>
      <c r="AD40" s="1160"/>
      <c r="AE40" s="1160"/>
      <c r="AF40" s="1160"/>
      <c r="AG40" s="1160"/>
      <c r="AH40" s="1160"/>
      <c r="AI40" s="1160"/>
      <c r="AJ40" s="1160"/>
      <c r="AK40" s="1160"/>
      <c r="AL40" s="1160"/>
      <c r="AM40" s="1160"/>
      <c r="AN40" s="1160"/>
      <c r="AO40" s="1160"/>
      <c r="AP40" s="1160"/>
      <c r="AQ40" s="1160"/>
      <c r="AR40" s="1160"/>
      <c r="AS40" s="1160"/>
      <c r="AT40" s="1160"/>
      <c r="AU40" s="1160"/>
      <c r="AV40" s="1160"/>
      <c r="AW40" s="1160"/>
      <c r="AX40" s="1160"/>
      <c r="AY40" s="1160"/>
      <c r="AZ40" s="1160"/>
      <c r="BA40" s="1160"/>
      <c r="BB40" s="1160"/>
      <c r="BC40" s="1160"/>
      <c r="BD40" s="1160"/>
      <c r="BE40" s="1160"/>
      <c r="BF40" s="1160"/>
      <c r="BG40" s="1160"/>
      <c r="BH40" s="1160"/>
      <c r="BI40" s="1160"/>
      <c r="BJ40" s="1160"/>
      <c r="BK40" s="1160"/>
      <c r="BL40" s="1160"/>
      <c r="BM40" s="1160"/>
      <c r="BN40" s="1160"/>
      <c r="BO40" s="1160"/>
      <c r="BP40" s="1160"/>
      <c r="BQ40" s="1160"/>
      <c r="BR40" s="1160"/>
      <c r="BS40" s="1160"/>
      <c r="BT40" s="1160"/>
      <c r="BU40" s="1160"/>
      <c r="BV40" s="1160"/>
      <c r="BW40" s="1160"/>
      <c r="BX40" s="1160"/>
      <c r="BY40" s="1160"/>
      <c r="BZ40" s="1160"/>
      <c r="CA40" s="1160"/>
      <c r="CB40" s="1155"/>
      <c r="CC40" s="1155"/>
      <c r="CD40" s="1155"/>
    </row>
    <row r="41" spans="1:82" s="1146" customFormat="1" ht="12.75" customHeight="1">
      <c r="A41" s="648" t="s">
        <v>443</v>
      </c>
      <c r="B41" s="1165">
        <v>17.81875</v>
      </c>
      <c r="C41" s="1165">
        <f>B41*1.015</f>
        <v>18.08603125</v>
      </c>
      <c r="D41" s="1165">
        <v>46.602</v>
      </c>
      <c r="E41" s="1165">
        <f>D41*1.015</f>
        <v>47.30102999999999</v>
      </c>
      <c r="F41" s="1165">
        <v>4.812142857142858</v>
      </c>
      <c r="G41" s="1165">
        <f>F41*1.015</f>
        <v>4.8843250000000005</v>
      </c>
      <c r="H41" s="1166">
        <v>0</v>
      </c>
      <c r="I41" s="1166">
        <v>0</v>
      </c>
      <c r="J41" s="1166">
        <v>0</v>
      </c>
      <c r="K41" s="1166">
        <v>0</v>
      </c>
      <c r="L41" s="1167">
        <v>0</v>
      </c>
      <c r="M41" s="1167">
        <v>0</v>
      </c>
      <c r="N41" s="1167">
        <v>0</v>
      </c>
      <c r="O41" s="1167">
        <v>0</v>
      </c>
      <c r="P41" s="1167"/>
      <c r="Q41" s="1167"/>
      <c r="R41" s="1167"/>
      <c r="S41" s="1167"/>
      <c r="T41" s="1167"/>
      <c r="U41" s="1167"/>
      <c r="V41" s="1167"/>
      <c r="W41" s="1167"/>
      <c r="X41" s="1167"/>
      <c r="Y41" s="1167"/>
      <c r="Z41" s="1167"/>
      <c r="AA41" s="1167"/>
      <c r="AB41" s="1167"/>
      <c r="AC41" s="1167"/>
      <c r="AD41" s="1167"/>
      <c r="AE41" s="1167"/>
      <c r="AF41" s="1167"/>
      <c r="AG41" s="1167"/>
      <c r="AH41" s="1167"/>
      <c r="AI41" s="1167"/>
      <c r="AJ41" s="1167"/>
      <c r="AK41" s="1167"/>
      <c r="AL41" s="1167"/>
      <c r="AM41" s="1167"/>
      <c r="AN41" s="1167"/>
      <c r="AO41" s="1167"/>
      <c r="AP41" s="1167"/>
      <c r="AQ41" s="1167"/>
      <c r="AR41" s="1167"/>
      <c r="AS41" s="1167"/>
      <c r="AT41" s="1167"/>
      <c r="AU41" s="1167"/>
      <c r="AV41" s="1167"/>
      <c r="AW41" s="1167"/>
      <c r="AX41" s="1167"/>
      <c r="AY41" s="1167"/>
      <c r="AZ41" s="1167"/>
      <c r="BA41" s="1167"/>
      <c r="BB41" s="1167"/>
      <c r="BC41" s="1167"/>
      <c r="BD41" s="1167"/>
      <c r="BE41" s="1167"/>
      <c r="BF41" s="1167"/>
      <c r="BG41" s="1167"/>
      <c r="BH41" s="1167"/>
      <c r="BI41" s="1167"/>
      <c r="BJ41" s="1167"/>
      <c r="BK41" s="1167"/>
      <c r="BL41" s="1167"/>
      <c r="BM41" s="1167"/>
      <c r="BN41" s="1167"/>
      <c r="BO41" s="1167"/>
      <c r="BP41" s="1167"/>
      <c r="BQ41" s="1167"/>
      <c r="BR41" s="1167"/>
      <c r="BS41" s="1167"/>
      <c r="BT41" s="1167"/>
      <c r="BU41" s="1167"/>
      <c r="BV41" s="1167"/>
      <c r="BW41" s="1167"/>
      <c r="BX41" s="1167"/>
      <c r="BY41" s="1167"/>
      <c r="BZ41" s="1167"/>
      <c r="CA41" s="1167"/>
      <c r="CB41" s="1155"/>
      <c r="CC41" s="1155"/>
      <c r="CD41" s="1155"/>
    </row>
    <row r="42" spans="1:82" s="1146" customFormat="1" ht="12.75" customHeight="1">
      <c r="A42" s="648" t="s">
        <v>444</v>
      </c>
      <c r="B42" s="1165">
        <v>34.34225</v>
      </c>
      <c r="C42" s="1165">
        <f>B42*1.002</f>
        <v>34.4109345</v>
      </c>
      <c r="D42" s="1165">
        <v>15.4772</v>
      </c>
      <c r="E42" s="1165">
        <f>D42*1.002</f>
        <v>15.5081544</v>
      </c>
      <c r="F42" s="1165">
        <v>12.65242857142857</v>
      </c>
      <c r="G42" s="1165">
        <f>F42*1.002</f>
        <v>12.677733428571427</v>
      </c>
      <c r="H42" s="1166">
        <v>0</v>
      </c>
      <c r="I42" s="1166">
        <v>0</v>
      </c>
      <c r="J42" s="1166">
        <v>0</v>
      </c>
      <c r="K42" s="1166">
        <v>0</v>
      </c>
      <c r="L42" s="1167">
        <v>0</v>
      </c>
      <c r="M42" s="1167">
        <v>0</v>
      </c>
      <c r="N42" s="1167">
        <v>0</v>
      </c>
      <c r="O42" s="1167">
        <v>0</v>
      </c>
      <c r="P42" s="1167"/>
      <c r="Q42" s="1167"/>
      <c r="R42" s="1167"/>
      <c r="S42" s="1167"/>
      <c r="T42" s="1167"/>
      <c r="U42" s="1167"/>
      <c r="V42" s="1167"/>
      <c r="W42" s="1167"/>
      <c r="X42" s="1167"/>
      <c r="Y42" s="1167"/>
      <c r="Z42" s="1167"/>
      <c r="AA42" s="1167"/>
      <c r="AB42" s="1167"/>
      <c r="AC42" s="1167"/>
      <c r="AD42" s="1167"/>
      <c r="AE42" s="1167"/>
      <c r="AF42" s="1167"/>
      <c r="AG42" s="1167"/>
      <c r="AH42" s="1167"/>
      <c r="AI42" s="1167"/>
      <c r="AJ42" s="1167"/>
      <c r="AK42" s="1167"/>
      <c r="AL42" s="1167"/>
      <c r="AM42" s="1167"/>
      <c r="AN42" s="1167"/>
      <c r="AO42" s="1167"/>
      <c r="AP42" s="1167"/>
      <c r="AQ42" s="1167"/>
      <c r="AR42" s="1167"/>
      <c r="AS42" s="1167"/>
      <c r="AT42" s="1167"/>
      <c r="AU42" s="1167"/>
      <c r="AV42" s="1167"/>
      <c r="AW42" s="1167"/>
      <c r="AX42" s="1167"/>
      <c r="AY42" s="1167"/>
      <c r="AZ42" s="1167"/>
      <c r="BA42" s="1167"/>
      <c r="BB42" s="1167"/>
      <c r="BC42" s="1167"/>
      <c r="BD42" s="1167"/>
      <c r="BE42" s="1167"/>
      <c r="BF42" s="1167"/>
      <c r="BG42" s="1167"/>
      <c r="BH42" s="1167"/>
      <c r="BI42" s="1167"/>
      <c r="BJ42" s="1167"/>
      <c r="BK42" s="1167"/>
      <c r="BL42" s="1167"/>
      <c r="BM42" s="1167"/>
      <c r="BN42" s="1167"/>
      <c r="BO42" s="1167"/>
      <c r="BP42" s="1167"/>
      <c r="BQ42" s="1167"/>
      <c r="BR42" s="1167"/>
      <c r="BS42" s="1167"/>
      <c r="BT42" s="1167"/>
      <c r="BU42" s="1167"/>
      <c r="BV42" s="1167"/>
      <c r="BW42" s="1167"/>
      <c r="BX42" s="1167"/>
      <c r="BY42" s="1167"/>
      <c r="BZ42" s="1167"/>
      <c r="CA42" s="1167"/>
      <c r="CB42" s="1155"/>
      <c r="CC42" s="1155"/>
      <c r="CD42" s="1155"/>
    </row>
    <row r="43" spans="1:82" s="1146" customFormat="1" ht="12.75" customHeight="1">
      <c r="A43" s="650" t="s">
        <v>634</v>
      </c>
      <c r="B43" s="1165">
        <v>918.76</v>
      </c>
      <c r="C43" s="1165">
        <f>B43*1.01*0.98</f>
        <v>909.388648</v>
      </c>
      <c r="D43" s="1177">
        <v>516.5824</v>
      </c>
      <c r="E43" s="1177">
        <f>D43*1.01*0.98</f>
        <v>511.31325952000003</v>
      </c>
      <c r="F43" s="1177">
        <v>324.7625714285714</v>
      </c>
      <c r="G43" s="1177">
        <f>F43*1.01*0.98</f>
        <v>321.4499932</v>
      </c>
      <c r="H43" s="1166">
        <v>1017</v>
      </c>
      <c r="I43" s="1166">
        <v>206.578</v>
      </c>
      <c r="J43" s="1166">
        <v>172.824</v>
      </c>
      <c r="K43" s="1166">
        <v>172.824</v>
      </c>
      <c r="L43" s="1167">
        <v>240.6</v>
      </c>
      <c r="M43" s="1167">
        <v>1026.6</v>
      </c>
      <c r="N43" s="1167">
        <v>232.78108312321822</v>
      </c>
      <c r="O43" s="1167">
        <v>1056.524444444441</v>
      </c>
      <c r="P43" s="1167"/>
      <c r="Q43" s="1167"/>
      <c r="R43" s="1167"/>
      <c r="S43" s="1167"/>
      <c r="T43" s="1167"/>
      <c r="U43" s="1167"/>
      <c r="V43" s="1167"/>
      <c r="W43" s="1167"/>
      <c r="X43" s="1167"/>
      <c r="Y43" s="1167"/>
      <c r="Z43" s="1167"/>
      <c r="AA43" s="1167"/>
      <c r="AB43" s="1167"/>
      <c r="AC43" s="1167"/>
      <c r="AD43" s="1167"/>
      <c r="AE43" s="1167"/>
      <c r="AF43" s="1167"/>
      <c r="AG43" s="1167"/>
      <c r="AH43" s="1167"/>
      <c r="AI43" s="1167"/>
      <c r="AJ43" s="1167"/>
      <c r="AK43" s="1167"/>
      <c r="AL43" s="1167"/>
      <c r="AM43" s="1167"/>
      <c r="AN43" s="1167"/>
      <c r="AO43" s="1167"/>
      <c r="AP43" s="1167"/>
      <c r="AQ43" s="1167"/>
      <c r="AR43" s="1167"/>
      <c r="AS43" s="1167"/>
      <c r="AT43" s="1167"/>
      <c r="AU43" s="1167"/>
      <c r="AV43" s="1167"/>
      <c r="AW43" s="1167"/>
      <c r="AX43" s="1167"/>
      <c r="AY43" s="1167"/>
      <c r="AZ43" s="1167"/>
      <c r="BA43" s="1167"/>
      <c r="BB43" s="1167"/>
      <c r="BC43" s="1167"/>
      <c r="BD43" s="1167"/>
      <c r="BE43" s="1167"/>
      <c r="BF43" s="1167"/>
      <c r="BG43" s="1167"/>
      <c r="BH43" s="1167"/>
      <c r="BI43" s="1167"/>
      <c r="BJ43" s="1167"/>
      <c r="BK43" s="1167"/>
      <c r="BL43" s="1167"/>
      <c r="BM43" s="1167"/>
      <c r="BN43" s="1167"/>
      <c r="BO43" s="1167"/>
      <c r="BP43" s="1167"/>
      <c r="BQ43" s="1167"/>
      <c r="BR43" s="1167"/>
      <c r="BS43" s="1167"/>
      <c r="BT43" s="1167"/>
      <c r="BU43" s="1167"/>
      <c r="BV43" s="1167"/>
      <c r="BW43" s="1167"/>
      <c r="BX43" s="1167"/>
      <c r="BY43" s="1167"/>
      <c r="BZ43" s="1167"/>
      <c r="CA43" s="1167"/>
      <c r="CB43" s="1155"/>
      <c r="CC43" s="1155"/>
      <c r="CD43" s="1155"/>
    </row>
    <row r="44" spans="1:82" s="1168" customFormat="1" ht="12.75" customHeight="1">
      <c r="A44" s="1178" t="s">
        <v>635</v>
      </c>
      <c r="B44" s="1179">
        <v>125.72275</v>
      </c>
      <c r="C44" s="1179">
        <f>B44</f>
        <v>125.72275</v>
      </c>
      <c r="D44" s="1179">
        <v>57.52479999999999</v>
      </c>
      <c r="E44" s="1179">
        <f>D44</f>
        <v>57.52479999999999</v>
      </c>
      <c r="F44" s="1179">
        <v>48.399571428571434</v>
      </c>
      <c r="G44" s="1179">
        <f>F44</f>
        <v>48.399571428571434</v>
      </c>
      <c r="H44" s="1180">
        <v>130.769</v>
      </c>
      <c r="I44" s="1180">
        <v>35.156</v>
      </c>
      <c r="J44" s="1180">
        <v>29.412</v>
      </c>
      <c r="K44" s="1180">
        <v>35.948</v>
      </c>
      <c r="L44" s="1181">
        <v>85.17</v>
      </c>
      <c r="M44" s="1181">
        <v>108.59</v>
      </c>
      <c r="N44" s="1181">
        <v>54.229932716559134</v>
      </c>
      <c r="O44" s="1181">
        <v>345.25714285714287</v>
      </c>
      <c r="P44" s="1181"/>
      <c r="Q44" s="1181"/>
      <c r="R44" s="1181"/>
      <c r="S44" s="1181"/>
      <c r="T44" s="1181"/>
      <c r="U44" s="1181"/>
      <c r="V44" s="1181"/>
      <c r="W44" s="1181"/>
      <c r="X44" s="1181"/>
      <c r="Y44" s="1181"/>
      <c r="Z44" s="1181"/>
      <c r="AA44" s="1181"/>
      <c r="AB44" s="1181"/>
      <c r="AC44" s="1181"/>
      <c r="AD44" s="1181"/>
      <c r="AE44" s="1181"/>
      <c r="AF44" s="1181"/>
      <c r="AG44" s="1181"/>
      <c r="AH44" s="1181"/>
      <c r="AI44" s="1181"/>
      <c r="AJ44" s="1181"/>
      <c r="AK44" s="1181"/>
      <c r="AL44" s="1181"/>
      <c r="AM44" s="1181"/>
      <c r="AN44" s="1181"/>
      <c r="AO44" s="1181"/>
      <c r="AP44" s="1181"/>
      <c r="AQ44" s="1181"/>
      <c r="AR44" s="1181"/>
      <c r="AS44" s="1181"/>
      <c r="AT44" s="1181"/>
      <c r="AU44" s="1181"/>
      <c r="AV44" s="1181"/>
      <c r="AW44" s="1181"/>
      <c r="AX44" s="1181"/>
      <c r="AY44" s="1181"/>
      <c r="AZ44" s="1181"/>
      <c r="BA44" s="1181"/>
      <c r="BB44" s="1181"/>
      <c r="BC44" s="1181"/>
      <c r="BD44" s="1181"/>
      <c r="BE44" s="1181"/>
      <c r="BF44" s="1181"/>
      <c r="BG44" s="1181"/>
      <c r="BH44" s="1181"/>
      <c r="BI44" s="1181"/>
      <c r="BJ44" s="1181"/>
      <c r="BK44" s="1181"/>
      <c r="BL44" s="1181"/>
      <c r="BM44" s="1181"/>
      <c r="BN44" s="1181"/>
      <c r="BO44" s="1181"/>
      <c r="BP44" s="1181"/>
      <c r="BQ44" s="1181"/>
      <c r="BR44" s="1181"/>
      <c r="BS44" s="1181"/>
      <c r="BT44" s="1181"/>
      <c r="BU44" s="1181"/>
      <c r="BV44" s="1181"/>
      <c r="BW44" s="1181"/>
      <c r="BX44" s="1181"/>
      <c r="BY44" s="1181"/>
      <c r="BZ44" s="1181"/>
      <c r="CA44" s="1181"/>
      <c r="CB44" s="1155"/>
      <c r="CC44" s="1155"/>
      <c r="CD44" s="1155"/>
    </row>
    <row r="45" spans="1:82" s="1146" customFormat="1" ht="12.75" customHeight="1">
      <c r="A45" s="1152" t="s">
        <v>969</v>
      </c>
      <c r="B45" s="1153">
        <f aca="true" t="shared" si="10" ref="B45:O45">B46+B47+B49+B50+B51</f>
        <v>1990.266</v>
      </c>
      <c r="C45" s="1153">
        <f t="shared" si="10"/>
        <v>2028.0845982500002</v>
      </c>
      <c r="D45" s="1153">
        <f t="shared" si="10"/>
        <v>982.0532000000001</v>
      </c>
      <c r="E45" s="1153">
        <f t="shared" si="10"/>
        <v>1023.8676638799999</v>
      </c>
      <c r="F45" s="1153">
        <f t="shared" si="10"/>
        <v>890.653857142857</v>
      </c>
      <c r="G45" s="1153">
        <f t="shared" si="10"/>
        <v>915.9073222571428</v>
      </c>
      <c r="H45" s="1153">
        <f t="shared" si="10"/>
        <v>1868.6509999999998</v>
      </c>
      <c r="I45" s="1153">
        <f t="shared" si="10"/>
        <v>805.7589999999999</v>
      </c>
      <c r="J45" s="1153">
        <f t="shared" si="10"/>
        <v>746.1580000000001</v>
      </c>
      <c r="K45" s="1153">
        <f t="shared" si="10"/>
        <v>853.1580000000001</v>
      </c>
      <c r="L45" s="1153">
        <f t="shared" si="10"/>
        <v>894.0924107551575</v>
      </c>
      <c r="M45" s="1153">
        <f t="shared" si="10"/>
        <v>2193.542857347216</v>
      </c>
      <c r="N45" s="1153">
        <f t="shared" si="10"/>
        <v>895.9548318943057</v>
      </c>
      <c r="O45" s="1153">
        <f t="shared" si="10"/>
        <v>2808.597142857143</v>
      </c>
      <c r="P45" s="1154"/>
      <c r="Q45" s="1154"/>
      <c r="R45" s="1154"/>
      <c r="S45" s="1154"/>
      <c r="T45" s="1154"/>
      <c r="U45" s="1154"/>
      <c r="V45" s="1154"/>
      <c r="W45" s="1154"/>
      <c r="X45" s="1154"/>
      <c r="Y45" s="1154"/>
      <c r="Z45" s="1154"/>
      <c r="AA45" s="1154"/>
      <c r="AB45" s="1154"/>
      <c r="AC45" s="1154"/>
      <c r="AD45" s="1154"/>
      <c r="AE45" s="1154"/>
      <c r="AF45" s="1154"/>
      <c r="AG45" s="1154"/>
      <c r="AH45" s="1154"/>
      <c r="AI45" s="1154"/>
      <c r="AJ45" s="1154"/>
      <c r="AK45" s="1154"/>
      <c r="AL45" s="1154"/>
      <c r="AM45" s="1154"/>
      <c r="AN45" s="1154"/>
      <c r="AO45" s="1154"/>
      <c r="AP45" s="1154"/>
      <c r="AQ45" s="1154"/>
      <c r="AR45" s="1154"/>
      <c r="AS45" s="1154"/>
      <c r="AT45" s="1154"/>
      <c r="AU45" s="1154"/>
      <c r="AV45" s="1154"/>
      <c r="AW45" s="1154"/>
      <c r="AX45" s="1154"/>
      <c r="AY45" s="1154"/>
      <c r="AZ45" s="1154"/>
      <c r="BA45" s="1154"/>
      <c r="BB45" s="1154"/>
      <c r="BC45" s="1154"/>
      <c r="BD45" s="1154"/>
      <c r="BE45" s="1154"/>
      <c r="BF45" s="1154"/>
      <c r="BG45" s="1154"/>
      <c r="BH45" s="1154"/>
      <c r="BI45" s="1154"/>
      <c r="BJ45" s="1154"/>
      <c r="BK45" s="1154"/>
      <c r="BL45" s="1154"/>
      <c r="BM45" s="1154"/>
      <c r="BN45" s="1154"/>
      <c r="BO45" s="1154"/>
      <c r="BP45" s="1154"/>
      <c r="BQ45" s="1154"/>
      <c r="BR45" s="1154"/>
      <c r="BS45" s="1154"/>
      <c r="BT45" s="1154"/>
      <c r="BU45" s="1154"/>
      <c r="BV45" s="1154"/>
      <c r="BW45" s="1154"/>
      <c r="BX45" s="1154"/>
      <c r="BY45" s="1154"/>
      <c r="BZ45" s="1154"/>
      <c r="CA45" s="1154"/>
      <c r="CB45" s="1155"/>
      <c r="CC45" s="1155"/>
      <c r="CD45" s="1155"/>
    </row>
    <row r="46" spans="1:82" s="1146" customFormat="1" ht="12.75" customHeight="1">
      <c r="A46" s="648" t="s">
        <v>637</v>
      </c>
      <c r="B46" s="1165">
        <v>1711.01375</v>
      </c>
      <c r="C46" s="1165">
        <f>B46*1.02</f>
        <v>1745.2340250000002</v>
      </c>
      <c r="D46" s="1165">
        <v>618.8074</v>
      </c>
      <c r="E46" s="1165">
        <f>D46*1.04</f>
        <v>643.559696</v>
      </c>
      <c r="F46" s="1165">
        <v>664.1729999999999</v>
      </c>
      <c r="G46" s="1165">
        <f>F46*1.04</f>
        <v>690.7399199999999</v>
      </c>
      <c r="H46" s="1166">
        <v>1686.25</v>
      </c>
      <c r="I46" s="1166">
        <v>654</v>
      </c>
      <c r="J46" s="1166">
        <v>643</v>
      </c>
      <c r="K46" s="1166">
        <v>750</v>
      </c>
      <c r="L46" s="1167">
        <v>687</v>
      </c>
      <c r="M46" s="1167">
        <v>1969.1</v>
      </c>
      <c r="N46" s="1167">
        <v>688</v>
      </c>
      <c r="O46" s="1167">
        <v>2600</v>
      </c>
      <c r="P46" s="1167"/>
      <c r="Q46" s="1167"/>
      <c r="R46" s="1167"/>
      <c r="S46" s="1167"/>
      <c r="T46" s="1167"/>
      <c r="U46" s="1167"/>
      <c r="V46" s="1167"/>
      <c r="W46" s="1167"/>
      <c r="X46" s="1167"/>
      <c r="Y46" s="1167"/>
      <c r="Z46" s="1167"/>
      <c r="AA46" s="1167"/>
      <c r="AB46" s="1167"/>
      <c r="AC46" s="1167"/>
      <c r="AD46" s="1167"/>
      <c r="AE46" s="1167"/>
      <c r="AF46" s="1167"/>
      <c r="AG46" s="1167"/>
      <c r="AH46" s="1167"/>
      <c r="AI46" s="1167"/>
      <c r="AJ46" s="1167"/>
      <c r="AK46" s="1167"/>
      <c r="AL46" s="1167"/>
      <c r="AM46" s="1167"/>
      <c r="AN46" s="1167"/>
      <c r="AO46" s="1167"/>
      <c r="AP46" s="1167"/>
      <c r="AQ46" s="1167"/>
      <c r="AR46" s="1167"/>
      <c r="AS46" s="1167"/>
      <c r="AT46" s="1167"/>
      <c r="AU46" s="1167"/>
      <c r="AV46" s="1167"/>
      <c r="AW46" s="1167"/>
      <c r="AX46" s="1167"/>
      <c r="AY46" s="1167"/>
      <c r="AZ46" s="1167"/>
      <c r="BA46" s="1167"/>
      <c r="BB46" s="1167"/>
      <c r="BC46" s="1167"/>
      <c r="BD46" s="1167"/>
      <c r="BE46" s="1167"/>
      <c r="BF46" s="1167"/>
      <c r="BG46" s="1167"/>
      <c r="BH46" s="1167"/>
      <c r="BI46" s="1167"/>
      <c r="BJ46" s="1167"/>
      <c r="BK46" s="1167"/>
      <c r="BL46" s="1167"/>
      <c r="BM46" s="1167"/>
      <c r="BN46" s="1167"/>
      <c r="BO46" s="1167"/>
      <c r="BP46" s="1167"/>
      <c r="BQ46" s="1167"/>
      <c r="BR46" s="1167"/>
      <c r="BS46" s="1167"/>
      <c r="BT46" s="1167"/>
      <c r="BU46" s="1167"/>
      <c r="BV46" s="1167"/>
      <c r="BW46" s="1167"/>
      <c r="BX46" s="1167"/>
      <c r="BY46" s="1167"/>
      <c r="BZ46" s="1167"/>
      <c r="CA46" s="1167"/>
      <c r="CB46" s="1155"/>
      <c r="CC46" s="1155"/>
      <c r="CD46" s="1155"/>
    </row>
    <row r="47" spans="1:82" s="1146" customFormat="1" ht="12.75" customHeight="1">
      <c r="A47" s="648" t="s">
        <v>638</v>
      </c>
      <c r="B47" s="1165">
        <v>89.22137500000001</v>
      </c>
      <c r="C47" s="1165">
        <f>B47</f>
        <v>89.22137500000001</v>
      </c>
      <c r="D47" s="1165">
        <v>48.9696</v>
      </c>
      <c r="E47" s="1165">
        <f>D47</f>
        <v>48.9696</v>
      </c>
      <c r="F47" s="1165">
        <v>66.76014285714287</v>
      </c>
      <c r="G47" s="1165">
        <f>F47</f>
        <v>66.76014285714287</v>
      </c>
      <c r="H47" s="1166">
        <v>7.636</v>
      </c>
      <c r="I47" s="1166">
        <v>9.961</v>
      </c>
      <c r="J47" s="1166">
        <v>8.725</v>
      </c>
      <c r="K47" s="1166">
        <v>8.725</v>
      </c>
      <c r="L47" s="1167">
        <v>11</v>
      </c>
      <c r="M47" s="1167">
        <v>4.8</v>
      </c>
      <c r="N47" s="1167">
        <v>10.546218487394958</v>
      </c>
      <c r="O47" s="1167">
        <v>-3.5714285714285716</v>
      </c>
      <c r="P47" s="1167"/>
      <c r="Q47" s="1167"/>
      <c r="R47" s="1167"/>
      <c r="S47" s="1167"/>
      <c r="T47" s="1167"/>
      <c r="U47" s="1167"/>
      <c r="V47" s="1167"/>
      <c r="W47" s="1167"/>
      <c r="X47" s="1167"/>
      <c r="Y47" s="1167"/>
      <c r="Z47" s="1167"/>
      <c r="AA47" s="1167"/>
      <c r="AB47" s="1167"/>
      <c r="AC47" s="1167"/>
      <c r="AD47" s="1167"/>
      <c r="AE47" s="1167"/>
      <c r="AF47" s="1167"/>
      <c r="AG47" s="1167"/>
      <c r="AH47" s="1167"/>
      <c r="AI47" s="1167"/>
      <c r="AJ47" s="1167"/>
      <c r="AK47" s="1167"/>
      <c r="AL47" s="1167"/>
      <c r="AM47" s="1167"/>
      <c r="AN47" s="1167"/>
      <c r="AO47" s="1167"/>
      <c r="AP47" s="1167"/>
      <c r="AQ47" s="1167"/>
      <c r="AR47" s="1167"/>
      <c r="AS47" s="1167"/>
      <c r="AT47" s="1167"/>
      <c r="AU47" s="1167"/>
      <c r="AV47" s="1167"/>
      <c r="AW47" s="1167"/>
      <c r="AX47" s="1167"/>
      <c r="AY47" s="1167"/>
      <c r="AZ47" s="1167"/>
      <c r="BA47" s="1167"/>
      <c r="BB47" s="1167"/>
      <c r="BC47" s="1167"/>
      <c r="BD47" s="1167"/>
      <c r="BE47" s="1167"/>
      <c r="BF47" s="1167"/>
      <c r="BG47" s="1167"/>
      <c r="BH47" s="1167"/>
      <c r="BI47" s="1167"/>
      <c r="BJ47" s="1167"/>
      <c r="BK47" s="1167"/>
      <c r="BL47" s="1167"/>
      <c r="BM47" s="1167"/>
      <c r="BN47" s="1167"/>
      <c r="BO47" s="1167"/>
      <c r="BP47" s="1167"/>
      <c r="BQ47" s="1167"/>
      <c r="BR47" s="1167"/>
      <c r="BS47" s="1167"/>
      <c r="BT47" s="1167"/>
      <c r="BU47" s="1167"/>
      <c r="BV47" s="1167"/>
      <c r="BW47" s="1167"/>
      <c r="BX47" s="1167"/>
      <c r="BY47" s="1167"/>
      <c r="BZ47" s="1167"/>
      <c r="CA47" s="1167"/>
      <c r="CB47" s="1155"/>
      <c r="CC47" s="1155"/>
      <c r="CD47" s="1155"/>
    </row>
    <row r="48" spans="1:82" s="1146" customFormat="1" ht="12.75" customHeight="1">
      <c r="A48" s="1182" t="s">
        <v>970</v>
      </c>
      <c r="B48" s="1176">
        <v>27.307000000000002</v>
      </c>
      <c r="C48" s="1176">
        <f>B48</f>
        <v>27.307000000000002</v>
      </c>
      <c r="D48" s="1165">
        <v>9.383600000000001</v>
      </c>
      <c r="E48" s="1165">
        <f>D48</f>
        <v>9.383600000000001</v>
      </c>
      <c r="F48" s="1165">
        <v>0.30628571428571433</v>
      </c>
      <c r="G48" s="1165">
        <f>F48</f>
        <v>0.30628571428571433</v>
      </c>
      <c r="H48" s="1166">
        <v>4.808</v>
      </c>
      <c r="I48" s="1166">
        <v>0</v>
      </c>
      <c r="J48" s="1166">
        <v>0</v>
      </c>
      <c r="K48" s="1166">
        <v>0</v>
      </c>
      <c r="L48" s="1167">
        <v>0</v>
      </c>
      <c r="M48" s="1167">
        <v>7.142857142857143</v>
      </c>
      <c r="N48" s="1167">
        <v>0</v>
      </c>
      <c r="O48" s="1167">
        <v>7.142857142857143</v>
      </c>
      <c r="P48" s="1167"/>
      <c r="Q48" s="1167"/>
      <c r="R48" s="1167"/>
      <c r="S48" s="1167"/>
      <c r="T48" s="1167"/>
      <c r="U48" s="1167"/>
      <c r="V48" s="1167"/>
      <c r="W48" s="1167"/>
      <c r="X48" s="1167"/>
      <c r="Y48" s="1167"/>
      <c r="Z48" s="1167"/>
      <c r="AA48" s="1167"/>
      <c r="AB48" s="1167"/>
      <c r="AC48" s="1167"/>
      <c r="AD48" s="1167"/>
      <c r="AE48" s="1167"/>
      <c r="AF48" s="1167"/>
      <c r="AG48" s="1167"/>
      <c r="AH48" s="1167"/>
      <c r="AI48" s="1167"/>
      <c r="AJ48" s="1167"/>
      <c r="AK48" s="1167"/>
      <c r="AL48" s="1167"/>
      <c r="AM48" s="1167"/>
      <c r="AN48" s="1167"/>
      <c r="AO48" s="1167"/>
      <c r="AP48" s="1167"/>
      <c r="AQ48" s="1167"/>
      <c r="AR48" s="1167"/>
      <c r="AS48" s="1167"/>
      <c r="AT48" s="1167"/>
      <c r="AU48" s="1167"/>
      <c r="AV48" s="1167"/>
      <c r="AW48" s="1167"/>
      <c r="AX48" s="1167"/>
      <c r="AY48" s="1167"/>
      <c r="AZ48" s="1167"/>
      <c r="BA48" s="1167"/>
      <c r="BB48" s="1167"/>
      <c r="BC48" s="1167"/>
      <c r="BD48" s="1167"/>
      <c r="BE48" s="1167"/>
      <c r="BF48" s="1167"/>
      <c r="BG48" s="1167"/>
      <c r="BH48" s="1167"/>
      <c r="BI48" s="1167"/>
      <c r="BJ48" s="1167"/>
      <c r="BK48" s="1167"/>
      <c r="BL48" s="1167"/>
      <c r="BM48" s="1167"/>
      <c r="BN48" s="1167"/>
      <c r="BO48" s="1167"/>
      <c r="BP48" s="1167"/>
      <c r="BQ48" s="1167"/>
      <c r="BR48" s="1167"/>
      <c r="BS48" s="1167"/>
      <c r="BT48" s="1167"/>
      <c r="BU48" s="1167"/>
      <c r="BV48" s="1167"/>
      <c r="BW48" s="1167"/>
      <c r="BX48" s="1167"/>
      <c r="BY48" s="1167"/>
      <c r="BZ48" s="1167"/>
      <c r="CA48" s="1167"/>
      <c r="CB48" s="1155"/>
      <c r="CC48" s="1155"/>
      <c r="CD48" s="1155"/>
    </row>
    <row r="49" spans="1:82" s="1146" customFormat="1" ht="12.75" customHeight="1">
      <c r="A49" s="648" t="s">
        <v>694</v>
      </c>
      <c r="B49" s="1165">
        <v>46.659124999999996</v>
      </c>
      <c r="C49" s="1165">
        <f>B49</f>
        <v>46.659124999999996</v>
      </c>
      <c r="D49" s="1165">
        <v>53.756400000000006</v>
      </c>
      <c r="E49" s="1165">
        <f>D49</f>
        <v>53.756400000000006</v>
      </c>
      <c r="F49" s="1165">
        <v>27.591999999999995</v>
      </c>
      <c r="G49" s="1165">
        <f>F49</f>
        <v>27.591999999999995</v>
      </c>
      <c r="H49" s="1166">
        <v>25</v>
      </c>
      <c r="I49" s="1166">
        <v>20.313</v>
      </c>
      <c r="J49" s="1166">
        <v>18.056</v>
      </c>
      <c r="K49" s="1166">
        <v>18.056</v>
      </c>
      <c r="L49" s="1167">
        <v>28.1875</v>
      </c>
      <c r="M49" s="1167">
        <v>24.214285714285715</v>
      </c>
      <c r="N49" s="1167">
        <v>27.297268907563026</v>
      </c>
      <c r="O49" s="1167">
        <v>24.214285714285715</v>
      </c>
      <c r="P49" s="1167"/>
      <c r="Q49" s="1167"/>
      <c r="R49" s="1167"/>
      <c r="S49" s="1167"/>
      <c r="T49" s="1167"/>
      <c r="U49" s="1167"/>
      <c r="V49" s="1167"/>
      <c r="W49" s="1167"/>
      <c r="X49" s="1167"/>
      <c r="Y49" s="1167"/>
      <c r="Z49" s="1167"/>
      <c r="AA49" s="1167"/>
      <c r="AB49" s="1167"/>
      <c r="AC49" s="1167"/>
      <c r="AD49" s="1167"/>
      <c r="AE49" s="1167"/>
      <c r="AF49" s="1167"/>
      <c r="AG49" s="1167"/>
      <c r="AH49" s="1167"/>
      <c r="AI49" s="1167"/>
      <c r="AJ49" s="1167"/>
      <c r="AK49" s="1167"/>
      <c r="AL49" s="1167"/>
      <c r="AM49" s="1167"/>
      <c r="AN49" s="1167"/>
      <c r="AO49" s="1167"/>
      <c r="AP49" s="1167"/>
      <c r="AQ49" s="1167"/>
      <c r="AR49" s="1167"/>
      <c r="AS49" s="1167"/>
      <c r="AT49" s="1167"/>
      <c r="AU49" s="1167"/>
      <c r="AV49" s="1167"/>
      <c r="AW49" s="1167"/>
      <c r="AX49" s="1167"/>
      <c r="AY49" s="1167"/>
      <c r="AZ49" s="1167"/>
      <c r="BA49" s="1167"/>
      <c r="BB49" s="1167"/>
      <c r="BC49" s="1167"/>
      <c r="BD49" s="1167"/>
      <c r="BE49" s="1167"/>
      <c r="BF49" s="1167"/>
      <c r="BG49" s="1167"/>
      <c r="BH49" s="1167"/>
      <c r="BI49" s="1167"/>
      <c r="BJ49" s="1167"/>
      <c r="BK49" s="1167"/>
      <c r="BL49" s="1167"/>
      <c r="BM49" s="1167"/>
      <c r="BN49" s="1167"/>
      <c r="BO49" s="1167"/>
      <c r="BP49" s="1167"/>
      <c r="BQ49" s="1167"/>
      <c r="BR49" s="1167"/>
      <c r="BS49" s="1167"/>
      <c r="BT49" s="1167"/>
      <c r="BU49" s="1167"/>
      <c r="BV49" s="1167"/>
      <c r="BW49" s="1167"/>
      <c r="BX49" s="1167"/>
      <c r="BY49" s="1167"/>
      <c r="BZ49" s="1167"/>
      <c r="CA49" s="1167"/>
      <c r="CB49" s="1155"/>
      <c r="CC49" s="1155"/>
      <c r="CD49" s="1155"/>
    </row>
    <row r="50" spans="1:82" s="1146" customFormat="1" ht="12.75" customHeight="1">
      <c r="A50" s="648" t="s">
        <v>696</v>
      </c>
      <c r="B50" s="1165">
        <v>81.254875</v>
      </c>
      <c r="C50" s="1165">
        <f>B50*1.15*0.98</f>
        <v>91.57424412499998</v>
      </c>
      <c r="D50" s="1165">
        <v>192.39119999999997</v>
      </c>
      <c r="E50" s="1165">
        <f>D50*1.15*0.98</f>
        <v>216.82488239999992</v>
      </c>
      <c r="F50" s="1165">
        <v>55.199285714285715</v>
      </c>
      <c r="G50" s="1165">
        <f>F50*1.15*0.98</f>
        <v>62.209595</v>
      </c>
      <c r="H50" s="1166">
        <v>94.803</v>
      </c>
      <c r="I50" s="1166">
        <v>76.065</v>
      </c>
      <c r="J50" s="1166">
        <v>42.753</v>
      </c>
      <c r="K50" s="1166">
        <v>42.753</v>
      </c>
      <c r="L50" s="1167">
        <v>90.80491071428571</v>
      </c>
      <c r="M50" s="1167">
        <v>108.14285714285714</v>
      </c>
      <c r="N50" s="1167">
        <v>91.16344537815127</v>
      </c>
      <c r="O50" s="1167">
        <v>105.66857142857143</v>
      </c>
      <c r="P50" s="1167"/>
      <c r="Q50" s="1167"/>
      <c r="R50" s="1167"/>
      <c r="S50" s="1167"/>
      <c r="T50" s="1167"/>
      <c r="U50" s="1167"/>
      <c r="V50" s="1167"/>
      <c r="W50" s="1167"/>
      <c r="X50" s="1167"/>
      <c r="Y50" s="1167"/>
      <c r="Z50" s="1167"/>
      <c r="AA50" s="1167"/>
      <c r="AB50" s="1167"/>
      <c r="AC50" s="1167"/>
      <c r="AD50" s="1167"/>
      <c r="AE50" s="1167"/>
      <c r="AF50" s="1167"/>
      <c r="AG50" s="1167"/>
      <c r="AH50" s="1167"/>
      <c r="AI50" s="1167"/>
      <c r="AJ50" s="1167"/>
      <c r="AK50" s="1167"/>
      <c r="AL50" s="1167"/>
      <c r="AM50" s="1167"/>
      <c r="AN50" s="1167"/>
      <c r="AO50" s="1167"/>
      <c r="AP50" s="1167"/>
      <c r="AQ50" s="1167"/>
      <c r="AR50" s="1167"/>
      <c r="AS50" s="1167"/>
      <c r="AT50" s="1167"/>
      <c r="AU50" s="1167"/>
      <c r="AV50" s="1167"/>
      <c r="AW50" s="1167"/>
      <c r="AX50" s="1167"/>
      <c r="AY50" s="1167"/>
      <c r="AZ50" s="1167"/>
      <c r="BA50" s="1167"/>
      <c r="BB50" s="1167"/>
      <c r="BC50" s="1167"/>
      <c r="BD50" s="1167"/>
      <c r="BE50" s="1167"/>
      <c r="BF50" s="1167"/>
      <c r="BG50" s="1167"/>
      <c r="BH50" s="1167"/>
      <c r="BI50" s="1167"/>
      <c r="BJ50" s="1167"/>
      <c r="BK50" s="1167"/>
      <c r="BL50" s="1167"/>
      <c r="BM50" s="1167"/>
      <c r="BN50" s="1167"/>
      <c r="BO50" s="1167"/>
      <c r="BP50" s="1167"/>
      <c r="BQ50" s="1167"/>
      <c r="BR50" s="1167"/>
      <c r="BS50" s="1167"/>
      <c r="BT50" s="1167"/>
      <c r="BU50" s="1167"/>
      <c r="BV50" s="1167"/>
      <c r="BW50" s="1167"/>
      <c r="BX50" s="1167"/>
      <c r="BY50" s="1167"/>
      <c r="BZ50" s="1167"/>
      <c r="CA50" s="1167"/>
      <c r="CB50" s="1155"/>
      <c r="CC50" s="1155"/>
      <c r="CD50" s="1155"/>
    </row>
    <row r="51" spans="1:82" s="1146" customFormat="1" ht="12.75" customHeight="1">
      <c r="A51" s="648" t="s">
        <v>698</v>
      </c>
      <c r="B51" s="1165">
        <v>62.11687500000001</v>
      </c>
      <c r="C51" s="1165">
        <f>B51*0.91*0.98</f>
        <v>55.395829125000006</v>
      </c>
      <c r="D51" s="1165">
        <v>68.1286</v>
      </c>
      <c r="E51" s="1165">
        <f>D51*0.91*0.98</f>
        <v>60.75708548</v>
      </c>
      <c r="F51" s="1165">
        <v>76.92942857142855</v>
      </c>
      <c r="G51" s="1165">
        <f>F51*0.91*0.98</f>
        <v>68.60566439999997</v>
      </c>
      <c r="H51" s="1166">
        <v>54.962</v>
      </c>
      <c r="I51" s="1166">
        <v>45.42</v>
      </c>
      <c r="J51" s="1166">
        <v>33.624</v>
      </c>
      <c r="K51" s="1166">
        <v>33.624</v>
      </c>
      <c r="L51" s="1167">
        <v>77.10000004087178</v>
      </c>
      <c r="M51" s="1167">
        <v>87.28571449007308</v>
      </c>
      <c r="N51" s="1167">
        <v>78.94789912119634</v>
      </c>
      <c r="O51" s="1167">
        <v>82.28571428571428</v>
      </c>
      <c r="P51" s="1167"/>
      <c r="Q51" s="1167"/>
      <c r="R51" s="1167"/>
      <c r="S51" s="1167"/>
      <c r="T51" s="1167"/>
      <c r="U51" s="1167"/>
      <c r="V51" s="1167"/>
      <c r="W51" s="1167"/>
      <c r="X51" s="1167"/>
      <c r="Y51" s="1167"/>
      <c r="Z51" s="1167"/>
      <c r="AA51" s="1167"/>
      <c r="AB51" s="1167"/>
      <c r="AC51" s="1167"/>
      <c r="AD51" s="1167"/>
      <c r="AE51" s="1167"/>
      <c r="AF51" s="1167"/>
      <c r="AG51" s="1167"/>
      <c r="AH51" s="1167"/>
      <c r="AI51" s="1167"/>
      <c r="AJ51" s="1167"/>
      <c r="AK51" s="1167"/>
      <c r="AL51" s="1167"/>
      <c r="AM51" s="1167"/>
      <c r="AN51" s="1167"/>
      <c r="AO51" s="1167"/>
      <c r="AP51" s="1167"/>
      <c r="AQ51" s="1167"/>
      <c r="AR51" s="1167"/>
      <c r="AS51" s="1167"/>
      <c r="AT51" s="1167"/>
      <c r="AU51" s="1167"/>
      <c r="AV51" s="1167"/>
      <c r="AW51" s="1167"/>
      <c r="AX51" s="1167"/>
      <c r="AY51" s="1167"/>
      <c r="AZ51" s="1167"/>
      <c r="BA51" s="1167"/>
      <c r="BB51" s="1167"/>
      <c r="BC51" s="1167"/>
      <c r="BD51" s="1167"/>
      <c r="BE51" s="1167"/>
      <c r="BF51" s="1167"/>
      <c r="BG51" s="1167"/>
      <c r="BH51" s="1167"/>
      <c r="BI51" s="1167"/>
      <c r="BJ51" s="1167"/>
      <c r="BK51" s="1167"/>
      <c r="BL51" s="1167"/>
      <c r="BM51" s="1167"/>
      <c r="BN51" s="1167"/>
      <c r="BO51" s="1167"/>
      <c r="BP51" s="1167"/>
      <c r="BQ51" s="1167"/>
      <c r="BR51" s="1167"/>
      <c r="BS51" s="1167"/>
      <c r="BT51" s="1167"/>
      <c r="BU51" s="1167"/>
      <c r="BV51" s="1167"/>
      <c r="BW51" s="1167"/>
      <c r="BX51" s="1167"/>
      <c r="BY51" s="1167"/>
      <c r="BZ51" s="1167"/>
      <c r="CA51" s="1167"/>
      <c r="CB51" s="1155"/>
      <c r="CC51" s="1155"/>
      <c r="CD51" s="1155"/>
    </row>
    <row r="52" spans="1:82" s="1146" customFormat="1" ht="12.75" customHeight="1">
      <c r="A52" s="1152"/>
      <c r="B52" s="1152"/>
      <c r="C52" s="1152"/>
      <c r="D52" s="1152"/>
      <c r="E52" s="1152"/>
      <c r="F52" s="1152"/>
      <c r="G52" s="1152"/>
      <c r="H52" s="1183"/>
      <c r="I52" s="1183"/>
      <c r="J52" s="1183"/>
      <c r="K52" s="1183"/>
      <c r="L52" s="1184"/>
      <c r="M52" s="1184"/>
      <c r="N52" s="1184"/>
      <c r="O52" s="1184"/>
      <c r="P52" s="1184"/>
      <c r="Q52" s="1184"/>
      <c r="R52" s="1184"/>
      <c r="S52" s="1184"/>
      <c r="T52" s="1184"/>
      <c r="U52" s="1184"/>
      <c r="V52" s="1184"/>
      <c r="W52" s="1184"/>
      <c r="X52" s="1184"/>
      <c r="Y52" s="1184"/>
      <c r="Z52" s="1184"/>
      <c r="AA52" s="1184"/>
      <c r="AB52" s="1184"/>
      <c r="AC52" s="1184"/>
      <c r="AD52" s="1184"/>
      <c r="AE52" s="1184"/>
      <c r="AF52" s="1184"/>
      <c r="AG52" s="1184"/>
      <c r="AH52" s="1184"/>
      <c r="AI52" s="1184"/>
      <c r="AJ52" s="1184"/>
      <c r="AK52" s="1184"/>
      <c r="AL52" s="1184"/>
      <c r="AM52" s="1184"/>
      <c r="AN52" s="1184"/>
      <c r="AO52" s="1184"/>
      <c r="AP52" s="1184"/>
      <c r="AQ52" s="1184"/>
      <c r="AR52" s="1184"/>
      <c r="AS52" s="1184"/>
      <c r="AT52" s="1184"/>
      <c r="AU52" s="1184"/>
      <c r="AV52" s="1184"/>
      <c r="AW52" s="1184"/>
      <c r="AX52" s="1184"/>
      <c r="AY52" s="1184"/>
      <c r="AZ52" s="1184"/>
      <c r="BA52" s="1184"/>
      <c r="BB52" s="1184"/>
      <c r="BC52" s="1184"/>
      <c r="BD52" s="1184"/>
      <c r="BE52" s="1184"/>
      <c r="BF52" s="1184"/>
      <c r="BG52" s="1154"/>
      <c r="BH52" s="1154"/>
      <c r="BI52" s="1154"/>
      <c r="BJ52" s="1154"/>
      <c r="BK52" s="1154"/>
      <c r="BL52" s="1154"/>
      <c r="BM52" s="1154"/>
      <c r="BN52" s="1154"/>
      <c r="BO52" s="1154"/>
      <c r="BP52" s="1154"/>
      <c r="BQ52" s="1154"/>
      <c r="BR52" s="1154"/>
      <c r="BS52" s="1154"/>
      <c r="BT52" s="1154"/>
      <c r="BU52" s="1154"/>
      <c r="BV52" s="1154"/>
      <c r="BW52" s="1154"/>
      <c r="BX52" s="1154"/>
      <c r="BY52" s="1154"/>
      <c r="BZ52" s="1154"/>
      <c r="CA52" s="1154"/>
      <c r="CB52" s="1155"/>
      <c r="CC52" s="1155"/>
      <c r="CD52" s="1155"/>
    </row>
    <row r="53" spans="1:82" s="1146" customFormat="1" ht="12.75" customHeight="1">
      <c r="A53" s="650" t="s">
        <v>936</v>
      </c>
      <c r="B53" s="1185">
        <v>2.3775000125169754</v>
      </c>
      <c r="C53" s="1185">
        <v>2.3775000125169754</v>
      </c>
      <c r="D53" s="1186">
        <v>1.449999988079071</v>
      </c>
      <c r="E53" s="1186">
        <v>1.449999988079071</v>
      </c>
      <c r="F53" s="1186">
        <v>1.4642857142857142</v>
      </c>
      <c r="G53" s="1186">
        <v>1.4642857142857142</v>
      </c>
      <c r="H53" s="1187">
        <v>2</v>
      </c>
      <c r="I53" s="1187">
        <v>1</v>
      </c>
      <c r="J53" s="1187">
        <v>1</v>
      </c>
      <c r="K53" s="1187">
        <v>1</v>
      </c>
      <c r="L53" s="1188">
        <v>1.63</v>
      </c>
      <c r="M53" s="1188">
        <v>1.9972000189751389</v>
      </c>
      <c r="N53" s="1188">
        <v>1.4982250278839842</v>
      </c>
      <c r="O53" s="1188">
        <v>1.5</v>
      </c>
      <c r="P53" s="1188"/>
      <c r="Q53" s="1188"/>
      <c r="R53" s="1188"/>
      <c r="S53" s="1188"/>
      <c r="T53" s="1188"/>
      <c r="U53" s="1188"/>
      <c r="V53" s="1188"/>
      <c r="W53" s="1188"/>
      <c r="X53" s="1188"/>
      <c r="Y53" s="1188"/>
      <c r="Z53" s="1188"/>
      <c r="AA53" s="1188"/>
      <c r="AB53" s="1188"/>
      <c r="AC53" s="1188"/>
      <c r="AD53" s="1188"/>
      <c r="AE53" s="1188"/>
      <c r="AF53" s="1188"/>
      <c r="AG53" s="1188"/>
      <c r="AH53" s="1188"/>
      <c r="AI53" s="1188"/>
      <c r="AJ53" s="1188"/>
      <c r="AK53" s="1188"/>
      <c r="AL53" s="1188"/>
      <c r="AM53" s="1188"/>
      <c r="AN53" s="1188"/>
      <c r="AO53" s="1188"/>
      <c r="AP53" s="1188"/>
      <c r="AQ53" s="1188"/>
      <c r="AR53" s="1188"/>
      <c r="AS53" s="1188"/>
      <c r="AT53" s="1188"/>
      <c r="AU53" s="1188"/>
      <c r="AV53" s="1188"/>
      <c r="AW53" s="1188"/>
      <c r="AX53" s="1188"/>
      <c r="AY53" s="1188"/>
      <c r="AZ53" s="1188"/>
      <c r="BA53" s="1188"/>
      <c r="BB53" s="1188"/>
      <c r="BC53" s="1188"/>
      <c r="BD53" s="1188"/>
      <c r="BE53" s="1188"/>
      <c r="BF53" s="1188"/>
      <c r="BG53" s="1188"/>
      <c r="BH53" s="1188"/>
      <c r="BI53" s="1188"/>
      <c r="BJ53" s="1188"/>
      <c r="BK53" s="1188"/>
      <c r="BL53" s="1188"/>
      <c r="BM53" s="1188"/>
      <c r="BN53" s="1188"/>
      <c r="BO53" s="1188"/>
      <c r="BP53" s="1188"/>
      <c r="BQ53" s="1188"/>
      <c r="BR53" s="1188"/>
      <c r="BS53" s="1188"/>
      <c r="BT53" s="1188"/>
      <c r="BU53" s="1188"/>
      <c r="BV53" s="1188"/>
      <c r="BW53" s="1188"/>
      <c r="BX53" s="1188"/>
      <c r="BY53" s="1188"/>
      <c r="BZ53" s="1188"/>
      <c r="CA53" s="1188"/>
      <c r="CB53" s="1189"/>
      <c r="CC53" s="1189"/>
      <c r="CD53" s="1189"/>
    </row>
    <row r="54" spans="1:82" s="1197" customFormat="1" ht="12.75" customHeight="1">
      <c r="A54" s="1190" t="s">
        <v>938</v>
      </c>
      <c r="B54" s="1191">
        <v>25.311</v>
      </c>
      <c r="C54" s="1191">
        <v>25.311</v>
      </c>
      <c r="D54" s="1192">
        <v>56.9162</v>
      </c>
      <c r="E54" s="1192">
        <v>56.9162</v>
      </c>
      <c r="F54" s="1192">
        <v>98.8787142857143</v>
      </c>
      <c r="G54" s="1192">
        <v>98.8787142857143</v>
      </c>
      <c r="H54" s="1193">
        <v>26</v>
      </c>
      <c r="I54" s="1193">
        <v>128</v>
      </c>
      <c r="J54" s="1193">
        <v>153</v>
      </c>
      <c r="K54" s="1193">
        <v>153</v>
      </c>
      <c r="L54" s="1194">
        <v>137.42331288343559</v>
      </c>
      <c r="M54" s="1194">
        <v>35.04906836317798</v>
      </c>
      <c r="N54" s="1194">
        <v>158.8546417063523</v>
      </c>
      <c r="O54" s="1194">
        <v>23.333333333333332</v>
      </c>
      <c r="P54" s="1194"/>
      <c r="Q54" s="1194"/>
      <c r="R54" s="1194"/>
      <c r="S54" s="1194"/>
      <c r="T54" s="1194"/>
      <c r="U54" s="1194"/>
      <c r="V54" s="1194"/>
      <c r="W54" s="1194"/>
      <c r="X54" s="1194"/>
      <c r="Y54" s="1194"/>
      <c r="Z54" s="1194"/>
      <c r="AA54" s="1194"/>
      <c r="AB54" s="1194"/>
      <c r="AC54" s="1194"/>
      <c r="AD54" s="1194"/>
      <c r="AE54" s="1194"/>
      <c r="AF54" s="1194"/>
      <c r="AG54" s="1194"/>
      <c r="AH54" s="1194"/>
      <c r="AI54" s="1194"/>
      <c r="AJ54" s="1194"/>
      <c r="AK54" s="1194"/>
      <c r="AL54" s="1194"/>
      <c r="AM54" s="1194"/>
      <c r="AN54" s="1194"/>
      <c r="AO54" s="1194"/>
      <c r="AP54" s="1194"/>
      <c r="AQ54" s="1194"/>
      <c r="AR54" s="1194"/>
      <c r="AS54" s="1194"/>
      <c r="AT54" s="1194"/>
      <c r="AU54" s="1194"/>
      <c r="AV54" s="1194"/>
      <c r="AW54" s="1194"/>
      <c r="AX54" s="1194"/>
      <c r="AY54" s="1194"/>
      <c r="AZ54" s="1194"/>
      <c r="BA54" s="1194"/>
      <c r="BB54" s="1194"/>
      <c r="BC54" s="1194"/>
      <c r="BD54" s="1194"/>
      <c r="BE54" s="1194"/>
      <c r="BF54" s="1194"/>
      <c r="BG54" s="1195"/>
      <c r="BH54" s="1195"/>
      <c r="BI54" s="1195"/>
      <c r="BJ54" s="1195"/>
      <c r="BK54" s="1195"/>
      <c r="BL54" s="1195"/>
      <c r="BM54" s="1195"/>
      <c r="BN54" s="1195"/>
      <c r="BO54" s="1195"/>
      <c r="BP54" s="1195"/>
      <c r="BQ54" s="1195"/>
      <c r="BR54" s="1195"/>
      <c r="BS54" s="1195"/>
      <c r="BT54" s="1195"/>
      <c r="BU54" s="1195"/>
      <c r="BV54" s="1195"/>
      <c r="BW54" s="1195"/>
      <c r="BX54" s="1195"/>
      <c r="BY54" s="1195"/>
      <c r="BZ54" s="1195"/>
      <c r="CA54" s="1195"/>
      <c r="CB54" s="1196"/>
      <c r="CC54" s="1196"/>
      <c r="CD54" s="1196"/>
    </row>
    <row r="55" spans="1:82" s="1197" customFormat="1" ht="12.75" customHeight="1">
      <c r="A55" s="1190" t="s">
        <v>971</v>
      </c>
      <c r="B55" s="1191">
        <f aca="true" t="shared" si="11" ref="B55:K55">(1.5*(B45-B8+B43))/B43</f>
        <v>0.983587457551483</v>
      </c>
      <c r="C55" s="1191">
        <f t="shared" si="11"/>
        <v>1.065124536926813</v>
      </c>
      <c r="D55" s="1191">
        <f t="shared" si="11"/>
        <v>0.368823250656623</v>
      </c>
      <c r="E55" s="1191">
        <f t="shared" si="11"/>
        <v>0.5164741985918915</v>
      </c>
      <c r="F55" s="1191">
        <f t="shared" si="11"/>
        <v>0.5605589665944957</v>
      </c>
      <c r="G55" s="1191">
        <f t="shared" si="11"/>
        <v>0.7180244195622348</v>
      </c>
      <c r="H55" s="1191">
        <f t="shared" si="11"/>
        <v>1.254646017699115</v>
      </c>
      <c r="I55" s="1191">
        <f t="shared" si="11"/>
        <v>1.7065950875698275</v>
      </c>
      <c r="J55" s="1191">
        <f t="shared" si="11"/>
        <v>1.9109498680738801</v>
      </c>
      <c r="K55" s="1191">
        <f t="shared" si="11"/>
        <v>2.87106825440911</v>
      </c>
      <c r="L55" s="1198">
        <v>1.77</v>
      </c>
      <c r="M55" s="1198">
        <v>1.59</v>
      </c>
      <c r="N55" s="1199">
        <v>1.7212016307169746</v>
      </c>
      <c r="O55" s="1199">
        <v>1.7844979585655572</v>
      </c>
      <c r="P55" s="1199"/>
      <c r="Q55" s="1194"/>
      <c r="R55" s="1194"/>
      <c r="S55" s="1194"/>
      <c r="T55" s="1194"/>
      <c r="U55" s="1194"/>
      <c r="V55" s="1194"/>
      <c r="W55" s="1194"/>
      <c r="X55" s="1194"/>
      <c r="Y55" s="1194"/>
      <c r="Z55" s="1194"/>
      <c r="AA55" s="1194"/>
      <c r="AB55" s="1194"/>
      <c r="AC55" s="1194"/>
      <c r="AD55" s="1194"/>
      <c r="AE55" s="1194"/>
      <c r="AF55" s="1194"/>
      <c r="AG55" s="1194"/>
      <c r="AH55" s="1194"/>
      <c r="AI55" s="1194"/>
      <c r="AJ55" s="1194"/>
      <c r="AK55" s="1194"/>
      <c r="AL55" s="1194"/>
      <c r="AM55" s="1194"/>
      <c r="AN55" s="1194"/>
      <c r="AO55" s="1194"/>
      <c r="AP55" s="1194"/>
      <c r="AQ55" s="1194"/>
      <c r="AR55" s="1194"/>
      <c r="AS55" s="1194"/>
      <c r="AT55" s="1194"/>
      <c r="AU55" s="1194"/>
      <c r="AV55" s="1194"/>
      <c r="AW55" s="1194"/>
      <c r="AX55" s="1194"/>
      <c r="AY55" s="1194"/>
      <c r="AZ55" s="1194"/>
      <c r="BA55" s="1194"/>
      <c r="BB55" s="1194"/>
      <c r="BC55" s="1194"/>
      <c r="BD55" s="1194"/>
      <c r="BE55" s="1194"/>
      <c r="BF55" s="1194"/>
      <c r="BG55" s="1195"/>
      <c r="BH55" s="1195"/>
      <c r="BI55" s="1195"/>
      <c r="BJ55" s="1195"/>
      <c r="BK55" s="1195"/>
      <c r="BL55" s="1195"/>
      <c r="BM55" s="1195"/>
      <c r="BN55" s="1195"/>
      <c r="BO55" s="1195"/>
      <c r="BP55" s="1195"/>
      <c r="BQ55" s="1195"/>
      <c r="BR55" s="1195"/>
      <c r="BS55" s="1195"/>
      <c r="BT55" s="1195"/>
      <c r="BU55" s="1195"/>
      <c r="BV55" s="1195"/>
      <c r="BW55" s="1195"/>
      <c r="BX55" s="1195"/>
      <c r="BY55" s="1195"/>
      <c r="BZ55" s="1195"/>
      <c r="CA55" s="1195"/>
      <c r="CB55" s="1196"/>
      <c r="CC55" s="1196"/>
      <c r="CD55" s="1196"/>
    </row>
    <row r="56" spans="1:82" s="1146" customFormat="1" ht="12.75" customHeight="1">
      <c r="A56" s="1158" t="s">
        <v>972</v>
      </c>
      <c r="B56" s="1200"/>
      <c r="C56" s="1200"/>
      <c r="D56" s="1158"/>
      <c r="E56" s="1158"/>
      <c r="F56" s="1158"/>
      <c r="G56" s="1158"/>
      <c r="H56" s="1201"/>
      <c r="I56" s="1201"/>
      <c r="J56" s="1201"/>
      <c r="K56" s="1201"/>
      <c r="L56" s="1202"/>
      <c r="M56" s="1202"/>
      <c r="N56" s="1202"/>
      <c r="O56" s="1202"/>
      <c r="P56" s="1202"/>
      <c r="Q56" s="1202"/>
      <c r="R56" s="1202"/>
      <c r="S56" s="1202"/>
      <c r="T56" s="1202"/>
      <c r="U56" s="1202"/>
      <c r="V56" s="1202"/>
      <c r="W56" s="1202"/>
      <c r="X56" s="1202"/>
      <c r="Y56" s="1202"/>
      <c r="Z56" s="1202"/>
      <c r="AA56" s="1202"/>
      <c r="AB56" s="1202"/>
      <c r="AC56" s="1202"/>
      <c r="AD56" s="1202"/>
      <c r="AE56" s="1202"/>
      <c r="AF56" s="1202"/>
      <c r="AG56" s="1202"/>
      <c r="AH56" s="1202"/>
      <c r="AI56" s="1202"/>
      <c r="AJ56" s="1202"/>
      <c r="AK56" s="1202"/>
      <c r="AL56" s="1202"/>
      <c r="AM56" s="1202"/>
      <c r="AN56" s="1202"/>
      <c r="AO56" s="1202"/>
      <c r="AP56" s="1202"/>
      <c r="AQ56" s="1202"/>
      <c r="AR56" s="1202"/>
      <c r="AS56" s="1202"/>
      <c r="AT56" s="1202"/>
      <c r="AU56" s="1202"/>
      <c r="AV56" s="1202"/>
      <c r="AW56" s="1202"/>
      <c r="AX56" s="1202"/>
      <c r="AY56" s="1202"/>
      <c r="AZ56" s="1202"/>
      <c r="BA56" s="1202"/>
      <c r="BB56" s="1202"/>
      <c r="BC56" s="1202"/>
      <c r="BD56" s="1202"/>
      <c r="BE56" s="1202"/>
      <c r="BF56" s="1202"/>
      <c r="BG56" s="1160"/>
      <c r="BH56" s="1160"/>
      <c r="BI56" s="1160"/>
      <c r="BJ56" s="1160"/>
      <c r="BK56" s="1160"/>
      <c r="BL56" s="1160"/>
      <c r="BM56" s="1160"/>
      <c r="BN56" s="1160"/>
      <c r="BO56" s="1160"/>
      <c r="BP56" s="1160"/>
      <c r="BQ56" s="1160"/>
      <c r="BR56" s="1160"/>
      <c r="BS56" s="1160"/>
      <c r="BT56" s="1160"/>
      <c r="BU56" s="1160"/>
      <c r="BV56" s="1160"/>
      <c r="BW56" s="1160"/>
      <c r="BX56" s="1160"/>
      <c r="BY56" s="1160"/>
      <c r="BZ56" s="1160"/>
      <c r="CA56" s="1160"/>
      <c r="CB56" s="1155"/>
      <c r="CC56" s="1155"/>
      <c r="CD56" s="1155"/>
    </row>
    <row r="57" spans="1:82" s="1146" customFormat="1" ht="12.75" customHeight="1">
      <c r="A57" s="650" t="s">
        <v>973</v>
      </c>
      <c r="B57" s="1165">
        <f aca="true" t="shared" si="12" ref="B57:K57">B45</f>
        <v>1990.266</v>
      </c>
      <c r="C57" s="1165">
        <f t="shared" si="12"/>
        <v>2028.0845982500002</v>
      </c>
      <c r="D57" s="1203">
        <f t="shared" si="12"/>
        <v>982.0532000000001</v>
      </c>
      <c r="E57" s="1203">
        <f t="shared" si="12"/>
        <v>1023.8676638799999</v>
      </c>
      <c r="F57" s="1165">
        <f t="shared" si="12"/>
        <v>890.653857142857</v>
      </c>
      <c r="G57" s="1165">
        <f t="shared" si="12"/>
        <v>915.9073222571428</v>
      </c>
      <c r="H57" s="1165">
        <f t="shared" si="12"/>
        <v>1868.6509999999998</v>
      </c>
      <c r="I57" s="1165">
        <f t="shared" si="12"/>
        <v>805.7589999999999</v>
      </c>
      <c r="J57" s="1165">
        <f t="shared" si="12"/>
        <v>746.1580000000001</v>
      </c>
      <c r="K57" s="1165">
        <f t="shared" si="12"/>
        <v>853.1580000000001</v>
      </c>
      <c r="L57" s="1165">
        <f>L45</f>
        <v>894.0924107551575</v>
      </c>
      <c r="M57" s="1165">
        <f>M45</f>
        <v>2193.542857347216</v>
      </c>
      <c r="N57" s="1204">
        <v>895.9548318943057</v>
      </c>
      <c r="O57" s="1204">
        <v>2808.597142857143</v>
      </c>
      <c r="P57" s="1204"/>
      <c r="Q57" s="1204"/>
      <c r="R57" s="1204"/>
      <c r="S57" s="1204"/>
      <c r="T57" s="1204"/>
      <c r="U57" s="1204"/>
      <c r="V57" s="1204"/>
      <c r="W57" s="1204"/>
      <c r="X57" s="1204"/>
      <c r="Y57" s="1204"/>
      <c r="Z57" s="1204"/>
      <c r="AA57" s="1204"/>
      <c r="AB57" s="1204"/>
      <c r="AC57" s="1204"/>
      <c r="AD57" s="1204"/>
      <c r="AE57" s="1204"/>
      <c r="AF57" s="1204"/>
      <c r="AG57" s="1204"/>
      <c r="AH57" s="1204"/>
      <c r="AI57" s="1204"/>
      <c r="AJ57" s="1204"/>
      <c r="AK57" s="1204"/>
      <c r="AL57" s="1204"/>
      <c r="AM57" s="1204"/>
      <c r="AN57" s="1204"/>
      <c r="AO57" s="1204"/>
      <c r="AP57" s="1204"/>
      <c r="AQ57" s="1204"/>
      <c r="AR57" s="1204"/>
      <c r="AS57" s="1204"/>
      <c r="AT57" s="1204"/>
      <c r="AU57" s="1204"/>
      <c r="AV57" s="1204"/>
      <c r="AW57" s="1204"/>
      <c r="AX57" s="1204"/>
      <c r="AY57" s="1204"/>
      <c r="AZ57" s="1204"/>
      <c r="BA57" s="1204"/>
      <c r="BB57" s="1204"/>
      <c r="BC57" s="1204"/>
      <c r="BD57" s="1204"/>
      <c r="BE57" s="1204"/>
      <c r="BF57" s="1204"/>
      <c r="BG57" s="1204"/>
      <c r="BH57" s="1204"/>
      <c r="BI57" s="1204"/>
      <c r="BJ57" s="1204"/>
      <c r="BK57" s="1204"/>
      <c r="BL57" s="1204"/>
      <c r="BM57" s="1204"/>
      <c r="BN57" s="1204"/>
      <c r="BO57" s="1204"/>
      <c r="BP57" s="1204"/>
      <c r="BQ57" s="1204"/>
      <c r="BR57" s="1204"/>
      <c r="BS57" s="1204"/>
      <c r="BT57" s="1204"/>
      <c r="BU57" s="1204"/>
      <c r="BV57" s="1204"/>
      <c r="BW57" s="1204"/>
      <c r="BX57" s="1204"/>
      <c r="BY57" s="1204"/>
      <c r="BZ57" s="1204"/>
      <c r="CA57" s="1204"/>
      <c r="CB57" s="1155"/>
      <c r="CC57" s="1155"/>
      <c r="CD57" s="1155"/>
    </row>
    <row r="58" spans="1:82" s="1146" customFormat="1" ht="12.75" customHeight="1">
      <c r="A58" s="650" t="s">
        <v>903</v>
      </c>
      <c r="B58" s="1166">
        <f aca="true" t="shared" si="13" ref="B58:K58">B10+B13+B17+B20</f>
        <v>408.80762500000003</v>
      </c>
      <c r="C58" s="1166">
        <f t="shared" si="13"/>
        <v>399.77153074999995</v>
      </c>
      <c r="D58" s="1166">
        <f t="shared" si="13"/>
        <v>304.2648</v>
      </c>
      <c r="E58" s="1166">
        <f t="shared" si="13"/>
        <v>295.0638294</v>
      </c>
      <c r="F58" s="1166">
        <f t="shared" si="13"/>
        <v>313.0968571428572</v>
      </c>
      <c r="G58" s="1166">
        <f t="shared" si="13"/>
        <v>303.38074642857146</v>
      </c>
      <c r="H58" s="1166">
        <f t="shared" si="13"/>
        <v>381.57800000000003</v>
      </c>
      <c r="I58" s="1166">
        <f t="shared" si="13"/>
        <v>232.416</v>
      </c>
      <c r="J58" s="1166">
        <f t="shared" si="13"/>
        <v>218.301</v>
      </c>
      <c r="K58" s="1166">
        <f t="shared" si="13"/>
        <v>214.68</v>
      </c>
      <c r="L58" s="1166">
        <f>L10+L13+L17+L20</f>
        <v>277.12415178571433</v>
      </c>
      <c r="M58" s="1166">
        <f>M10+M13+M17+M20</f>
        <v>375.0992857142857</v>
      </c>
      <c r="N58" s="1167">
        <v>282.3342576555845</v>
      </c>
      <c r="O58" s="1167">
        <v>601.8285714285714</v>
      </c>
      <c r="P58" s="1167"/>
      <c r="Q58" s="1167"/>
      <c r="R58" s="1167"/>
      <c r="S58" s="1167"/>
      <c r="T58" s="1167"/>
      <c r="U58" s="1167"/>
      <c r="V58" s="1167"/>
      <c r="W58" s="1167"/>
      <c r="X58" s="1167"/>
      <c r="Y58" s="1167"/>
      <c r="Z58" s="1167"/>
      <c r="AA58" s="1167"/>
      <c r="AB58" s="1167"/>
      <c r="AC58" s="1167"/>
      <c r="AD58" s="1167"/>
      <c r="AE58" s="1167"/>
      <c r="AF58" s="1167"/>
      <c r="AG58" s="1167"/>
      <c r="AH58" s="1167"/>
      <c r="AI58" s="1167"/>
      <c r="AJ58" s="1167"/>
      <c r="AK58" s="1167"/>
      <c r="AL58" s="1167"/>
      <c r="AM58" s="1167"/>
      <c r="AN58" s="1167"/>
      <c r="AO58" s="1167"/>
      <c r="AP58" s="1167"/>
      <c r="AQ58" s="1167"/>
      <c r="AR58" s="1167"/>
      <c r="AS58" s="1167"/>
      <c r="AT58" s="1167"/>
      <c r="AU58" s="1167"/>
      <c r="AV58" s="1167"/>
      <c r="AW58" s="1167"/>
      <c r="AX58" s="1167"/>
      <c r="AY58" s="1167"/>
      <c r="AZ58" s="1167"/>
      <c r="BA58" s="1167"/>
      <c r="BB58" s="1167"/>
      <c r="BC58" s="1167"/>
      <c r="BD58" s="1167"/>
      <c r="BE58" s="1167"/>
      <c r="BF58" s="1167"/>
      <c r="BG58" s="1167"/>
      <c r="BH58" s="1167"/>
      <c r="BI58" s="1167"/>
      <c r="BJ58" s="1167"/>
      <c r="BK58" s="1167"/>
      <c r="BL58" s="1167"/>
      <c r="BM58" s="1167"/>
      <c r="BN58" s="1167"/>
      <c r="BO58" s="1167"/>
      <c r="BP58" s="1167"/>
      <c r="BQ58" s="1167"/>
      <c r="BR58" s="1167"/>
      <c r="BS58" s="1167"/>
      <c r="BT58" s="1167"/>
      <c r="BU58" s="1167"/>
      <c r="BV58" s="1167"/>
      <c r="BW58" s="1167"/>
      <c r="BX58" s="1167"/>
      <c r="BY58" s="1167"/>
      <c r="BZ58" s="1167"/>
      <c r="CA58" s="1167"/>
      <c r="CB58" s="1155"/>
      <c r="CC58" s="1155"/>
      <c r="CD58" s="1155"/>
    </row>
    <row r="59" spans="1:82" s="1146" customFormat="1" ht="12.75" customHeight="1">
      <c r="A59" s="650" t="s">
        <v>905</v>
      </c>
      <c r="B59" s="1166">
        <f aca="true" t="shared" si="14" ref="B59:K59">B57-B60-B58</f>
        <v>691.765125</v>
      </c>
      <c r="C59" s="1166">
        <f t="shared" si="14"/>
        <v>692.3130675000002</v>
      </c>
      <c r="D59" s="1166">
        <f t="shared" si="14"/>
        <v>414.56760000000014</v>
      </c>
      <c r="E59" s="1166">
        <f t="shared" si="14"/>
        <v>414.8038344799999</v>
      </c>
      <c r="F59" s="1166">
        <f t="shared" si="14"/>
        <v>340.33457142857117</v>
      </c>
      <c r="G59" s="1166">
        <f t="shared" si="14"/>
        <v>339.52657582857137</v>
      </c>
      <c r="H59" s="1166">
        <f t="shared" si="14"/>
        <v>499.96099999999984</v>
      </c>
      <c r="I59" s="1166">
        <f t="shared" si="14"/>
        <v>246.59399999999988</v>
      </c>
      <c r="J59" s="1166">
        <f t="shared" si="14"/>
        <v>233.25700000000012</v>
      </c>
      <c r="K59" s="1166">
        <f t="shared" si="14"/>
        <v>239.79300000000012</v>
      </c>
      <c r="L59" s="1166">
        <f>L57-L60-L58</f>
        <v>218.28325896944318</v>
      </c>
      <c r="M59" s="1166">
        <f>M57-M60-M58</f>
        <v>1419.7585716329302</v>
      </c>
      <c r="N59" s="1167">
        <v>240.08586939126062</v>
      </c>
      <c r="O59" s="1167">
        <v>1109.2571428571428</v>
      </c>
      <c r="P59" s="1167"/>
      <c r="Q59" s="1167"/>
      <c r="R59" s="1167"/>
      <c r="S59" s="1167"/>
      <c r="T59" s="1167"/>
      <c r="U59" s="1167"/>
      <c r="V59" s="1167"/>
      <c r="W59" s="1167"/>
      <c r="X59" s="1167"/>
      <c r="Y59" s="1167"/>
      <c r="Z59" s="1167"/>
      <c r="AA59" s="1167"/>
      <c r="AB59" s="1167"/>
      <c r="AC59" s="1167"/>
      <c r="AD59" s="1167"/>
      <c r="AE59" s="1167"/>
      <c r="AF59" s="1167"/>
      <c r="AG59" s="1167"/>
      <c r="AH59" s="1167"/>
      <c r="AI59" s="1167"/>
      <c r="AJ59" s="1167"/>
      <c r="AK59" s="1167"/>
      <c r="AL59" s="1167"/>
      <c r="AM59" s="1167"/>
      <c r="AN59" s="1167"/>
      <c r="AO59" s="1167"/>
      <c r="AP59" s="1167"/>
      <c r="AQ59" s="1167"/>
      <c r="AR59" s="1167"/>
      <c r="AS59" s="1167"/>
      <c r="AT59" s="1167"/>
      <c r="AU59" s="1167"/>
      <c r="AV59" s="1167"/>
      <c r="AW59" s="1167"/>
      <c r="AX59" s="1167"/>
      <c r="AY59" s="1167"/>
      <c r="AZ59" s="1167"/>
      <c r="BA59" s="1167"/>
      <c r="BB59" s="1167"/>
      <c r="BC59" s="1167"/>
      <c r="BD59" s="1167"/>
      <c r="BE59" s="1167"/>
      <c r="BF59" s="1167"/>
      <c r="BG59" s="1167"/>
      <c r="BH59" s="1167"/>
      <c r="BI59" s="1167"/>
      <c r="BJ59" s="1167"/>
      <c r="BK59" s="1167"/>
      <c r="BL59" s="1167"/>
      <c r="BM59" s="1167"/>
      <c r="BN59" s="1167"/>
      <c r="BO59" s="1167"/>
      <c r="BP59" s="1167"/>
      <c r="BQ59" s="1167"/>
      <c r="BR59" s="1167"/>
      <c r="BS59" s="1167"/>
      <c r="BT59" s="1167"/>
      <c r="BU59" s="1167"/>
      <c r="BV59" s="1167"/>
      <c r="BW59" s="1167"/>
      <c r="BX59" s="1167"/>
      <c r="BY59" s="1167"/>
      <c r="BZ59" s="1167"/>
      <c r="CA59" s="1167"/>
      <c r="CB59" s="1155"/>
      <c r="CC59" s="1155"/>
      <c r="CD59" s="1155"/>
    </row>
    <row r="60" spans="1:82" s="1146" customFormat="1" ht="12.75" customHeight="1">
      <c r="A60" s="650" t="s">
        <v>974</v>
      </c>
      <c r="B60" s="1165">
        <v>889.69325</v>
      </c>
      <c r="C60" s="1165">
        <v>936</v>
      </c>
      <c r="D60" s="1203">
        <v>263.22079999999994</v>
      </c>
      <c r="E60" s="1203">
        <v>314</v>
      </c>
      <c r="F60" s="1165">
        <v>237.22242857142857</v>
      </c>
      <c r="G60" s="1165">
        <v>273</v>
      </c>
      <c r="H60" s="1165">
        <v>987.112</v>
      </c>
      <c r="I60" s="1165">
        <v>326.749</v>
      </c>
      <c r="J60" s="1165">
        <v>294.6</v>
      </c>
      <c r="K60" s="1165">
        <v>398.685</v>
      </c>
      <c r="L60" s="1165">
        <v>398.685</v>
      </c>
      <c r="M60" s="1165">
        <v>398.685</v>
      </c>
      <c r="N60" s="1204">
        <v>373.5347048474606</v>
      </c>
      <c r="O60" s="1204">
        <v>1097.511428571429</v>
      </c>
      <c r="P60" s="1204"/>
      <c r="Q60" s="1204"/>
      <c r="R60" s="1204"/>
      <c r="S60" s="1204"/>
      <c r="T60" s="1204"/>
      <c r="U60" s="1204"/>
      <c r="V60" s="1204"/>
      <c r="W60" s="1204"/>
      <c r="X60" s="1204"/>
      <c r="Y60" s="1204"/>
      <c r="Z60" s="1204"/>
      <c r="AA60" s="1204"/>
      <c r="AB60" s="1204"/>
      <c r="AC60" s="1204"/>
      <c r="AD60" s="1204"/>
      <c r="AE60" s="1204"/>
      <c r="AF60" s="1204"/>
      <c r="AG60" s="1204"/>
      <c r="AH60" s="1204"/>
      <c r="AI60" s="1204"/>
      <c r="AJ60" s="1204"/>
      <c r="AK60" s="1204"/>
      <c r="AL60" s="1204"/>
      <c r="AM60" s="1204"/>
      <c r="AN60" s="1204"/>
      <c r="AO60" s="1204"/>
      <c r="AP60" s="1204"/>
      <c r="AQ60" s="1204"/>
      <c r="AR60" s="1204"/>
      <c r="AS60" s="1204"/>
      <c r="AT60" s="1204"/>
      <c r="AU60" s="1204"/>
      <c r="AV60" s="1204"/>
      <c r="AW60" s="1204"/>
      <c r="AX60" s="1204"/>
      <c r="AY60" s="1204"/>
      <c r="AZ60" s="1204"/>
      <c r="BA60" s="1204"/>
      <c r="BB60" s="1204"/>
      <c r="BC60" s="1204"/>
      <c r="BD60" s="1204"/>
      <c r="BE60" s="1204"/>
      <c r="BF60" s="1204"/>
      <c r="BG60" s="1204"/>
      <c r="BH60" s="1204"/>
      <c r="BI60" s="1204"/>
      <c r="BJ60" s="1204"/>
      <c r="BK60" s="1204"/>
      <c r="BL60" s="1204"/>
      <c r="BM60" s="1204"/>
      <c r="BN60" s="1204"/>
      <c r="BO60" s="1204"/>
      <c r="BP60" s="1204"/>
      <c r="BQ60" s="1204"/>
      <c r="BR60" s="1204"/>
      <c r="BS60" s="1204"/>
      <c r="BT60" s="1204"/>
      <c r="BU60" s="1204"/>
      <c r="BV60" s="1204"/>
      <c r="BW60" s="1204"/>
      <c r="BX60" s="1204"/>
      <c r="BY60" s="1204"/>
      <c r="BZ60" s="1204"/>
      <c r="CA60" s="1204"/>
      <c r="CB60" s="1155"/>
      <c r="CC60" s="1155"/>
      <c r="CD60" s="1155"/>
    </row>
    <row r="61" spans="1:82" s="1146" customFormat="1" ht="25.5" customHeight="1">
      <c r="A61" s="650" t="s">
        <v>975</v>
      </c>
      <c r="B61" s="1166">
        <v>303.908375</v>
      </c>
      <c r="C61" s="1166">
        <v>303.908375</v>
      </c>
      <c r="D61" s="1166">
        <v>135.13600000000002</v>
      </c>
      <c r="E61" s="1166">
        <v>135.13600000000002</v>
      </c>
      <c r="F61" s="1166">
        <v>152.64128571428571</v>
      </c>
      <c r="G61" s="1166">
        <v>152.64128571428571</v>
      </c>
      <c r="H61" s="1166">
        <v>330.077</v>
      </c>
      <c r="I61" s="1166">
        <v>178.086</v>
      </c>
      <c r="J61" s="1166">
        <v>151.771</v>
      </c>
      <c r="K61" s="1166">
        <v>151.771</v>
      </c>
      <c r="L61" s="1166">
        <v>151.771</v>
      </c>
      <c r="M61" s="1166">
        <v>151.771</v>
      </c>
      <c r="N61" s="1167">
        <v>202.32554825582386</v>
      </c>
      <c r="O61" s="1167">
        <v>353.51428571428573</v>
      </c>
      <c r="P61" s="1167"/>
      <c r="Q61" s="1167"/>
      <c r="R61" s="1167"/>
      <c r="S61" s="1167"/>
      <c r="T61" s="1167"/>
      <c r="U61" s="1167"/>
      <c r="V61" s="1167"/>
      <c r="W61" s="1167"/>
      <c r="X61" s="1167"/>
      <c r="Y61" s="1167"/>
      <c r="Z61" s="1167"/>
      <c r="AA61" s="1167"/>
      <c r="AB61" s="1167"/>
      <c r="AC61" s="1167"/>
      <c r="AD61" s="1167"/>
      <c r="AE61" s="1167"/>
      <c r="AF61" s="1167"/>
      <c r="AG61" s="1167"/>
      <c r="AH61" s="1167"/>
      <c r="AI61" s="1167"/>
      <c r="AJ61" s="1167"/>
      <c r="AK61" s="1167"/>
      <c r="AL61" s="1167"/>
      <c r="AM61" s="1167"/>
      <c r="AN61" s="1167"/>
      <c r="AO61" s="1167"/>
      <c r="AP61" s="1167"/>
      <c r="AQ61" s="1167"/>
      <c r="AR61" s="1167"/>
      <c r="AS61" s="1167"/>
      <c r="AT61" s="1167"/>
      <c r="AU61" s="1167"/>
      <c r="AV61" s="1167"/>
      <c r="AW61" s="1167"/>
      <c r="AX61" s="1167"/>
      <c r="AY61" s="1167"/>
      <c r="AZ61" s="1167"/>
      <c r="BA61" s="1167"/>
      <c r="BB61" s="1167"/>
      <c r="BC61" s="1167"/>
      <c r="BD61" s="1167"/>
      <c r="BE61" s="1167"/>
      <c r="BF61" s="1167"/>
      <c r="BG61" s="1167"/>
      <c r="BH61" s="1167"/>
      <c r="BI61" s="1167"/>
      <c r="BJ61" s="1167"/>
      <c r="BK61" s="1167"/>
      <c r="BL61" s="1167"/>
      <c r="BM61" s="1167"/>
      <c r="BN61" s="1167"/>
      <c r="BO61" s="1167"/>
      <c r="BP61" s="1167"/>
      <c r="BQ61" s="1167"/>
      <c r="BR61" s="1167"/>
      <c r="BS61" s="1167"/>
      <c r="BT61" s="1167"/>
      <c r="BU61" s="1167"/>
      <c r="BV61" s="1167"/>
      <c r="BW61" s="1167"/>
      <c r="BX61" s="1167"/>
      <c r="BY61" s="1167"/>
      <c r="BZ61" s="1167"/>
      <c r="CA61" s="1167"/>
      <c r="CB61" s="1155"/>
      <c r="CC61" s="1155"/>
      <c r="CD61" s="1155"/>
    </row>
    <row r="62" spans="1:82" s="1146" customFormat="1" ht="25.5" customHeight="1">
      <c r="A62" s="650" t="s">
        <v>911</v>
      </c>
      <c r="B62" s="1165">
        <f aca="true" t="shared" si="15" ref="B62:K62">B60-B61</f>
        <v>585.784875</v>
      </c>
      <c r="C62" s="1165">
        <f t="shared" si="15"/>
        <v>632.091625</v>
      </c>
      <c r="D62" s="1203">
        <f t="shared" si="15"/>
        <v>128.08479999999992</v>
      </c>
      <c r="E62" s="1203">
        <f t="shared" si="15"/>
        <v>178.86399999999998</v>
      </c>
      <c r="F62" s="1165">
        <f t="shared" si="15"/>
        <v>84.58114285714285</v>
      </c>
      <c r="G62" s="1165">
        <f t="shared" si="15"/>
        <v>120.35871428571429</v>
      </c>
      <c r="H62" s="1165">
        <f t="shared" si="15"/>
        <v>657.035</v>
      </c>
      <c r="I62" s="1165">
        <f t="shared" si="15"/>
        <v>148.663</v>
      </c>
      <c r="J62" s="1165">
        <f t="shared" si="15"/>
        <v>142.82900000000004</v>
      </c>
      <c r="K62" s="1165">
        <f t="shared" si="15"/>
        <v>246.91400000000002</v>
      </c>
      <c r="L62" s="1165">
        <f>L60-L61</f>
        <v>246.91400000000002</v>
      </c>
      <c r="M62" s="1165">
        <f>M60-M61</f>
        <v>246.91400000000002</v>
      </c>
      <c r="N62" s="1204">
        <v>171.20915659163674</v>
      </c>
      <c r="O62" s="1204">
        <v>743.9971428571432</v>
      </c>
      <c r="P62" s="1204"/>
      <c r="Q62" s="1204"/>
      <c r="R62" s="1204"/>
      <c r="S62" s="1204"/>
      <c r="T62" s="1204"/>
      <c r="U62" s="1204"/>
      <c r="V62" s="1204"/>
      <c r="W62" s="1204"/>
      <c r="X62" s="1204"/>
      <c r="Y62" s="1204"/>
      <c r="Z62" s="1204"/>
      <c r="AA62" s="1204"/>
      <c r="AB62" s="1204"/>
      <c r="AC62" s="1204"/>
      <c r="AD62" s="1204"/>
      <c r="AE62" s="1204"/>
      <c r="AF62" s="1204"/>
      <c r="AG62" s="1204"/>
      <c r="AH62" s="1204"/>
      <c r="AI62" s="1204"/>
      <c r="AJ62" s="1204"/>
      <c r="AK62" s="1204"/>
      <c r="AL62" s="1204"/>
      <c r="AM62" s="1204"/>
      <c r="AN62" s="1204"/>
      <c r="AO62" s="1204"/>
      <c r="AP62" s="1204"/>
      <c r="AQ62" s="1204"/>
      <c r="AR62" s="1204"/>
      <c r="AS62" s="1204"/>
      <c r="AT62" s="1204"/>
      <c r="AU62" s="1204"/>
      <c r="AV62" s="1204"/>
      <c r="AW62" s="1204"/>
      <c r="AX62" s="1204"/>
      <c r="AY62" s="1204"/>
      <c r="AZ62" s="1204"/>
      <c r="BA62" s="1204"/>
      <c r="BB62" s="1204"/>
      <c r="BC62" s="1204"/>
      <c r="BD62" s="1204"/>
      <c r="BE62" s="1204"/>
      <c r="BF62" s="1204"/>
      <c r="BG62" s="1204"/>
      <c r="BH62" s="1204"/>
      <c r="BI62" s="1204"/>
      <c r="BJ62" s="1204"/>
      <c r="BK62" s="1204"/>
      <c r="BL62" s="1204"/>
      <c r="BM62" s="1204"/>
      <c r="BN62" s="1204"/>
      <c r="BO62" s="1204"/>
      <c r="BP62" s="1204"/>
      <c r="BQ62" s="1204"/>
      <c r="BR62" s="1204"/>
      <c r="BS62" s="1204"/>
      <c r="BT62" s="1204"/>
      <c r="BU62" s="1204"/>
      <c r="BV62" s="1204"/>
      <c r="BW62" s="1204"/>
      <c r="BX62" s="1204"/>
      <c r="BY62" s="1204"/>
      <c r="BZ62" s="1204"/>
      <c r="CA62" s="1204"/>
      <c r="CB62" s="1155"/>
      <c r="CC62" s="1155"/>
      <c r="CD62" s="1155"/>
    </row>
    <row r="63" spans="1:82" s="1146" customFormat="1" ht="12.75" customHeight="1">
      <c r="A63" s="1158" t="s">
        <v>976</v>
      </c>
      <c r="B63" s="1158"/>
      <c r="C63" s="1158"/>
      <c r="D63" s="1158"/>
      <c r="E63" s="1158"/>
      <c r="F63" s="1158"/>
      <c r="G63" s="1158"/>
      <c r="H63" s="1201"/>
      <c r="I63" s="1201"/>
      <c r="J63" s="1201"/>
      <c r="K63" s="1201"/>
      <c r="L63" s="1202"/>
      <c r="M63" s="1202"/>
      <c r="N63" s="1202"/>
      <c r="O63" s="1202"/>
      <c r="P63" s="1202"/>
      <c r="Q63" s="1202"/>
      <c r="R63" s="1202"/>
      <c r="S63" s="1202"/>
      <c r="T63" s="1202"/>
      <c r="U63" s="1202"/>
      <c r="V63" s="1202"/>
      <c r="W63" s="1202"/>
      <c r="X63" s="1202"/>
      <c r="Y63" s="1202"/>
      <c r="Z63" s="1202"/>
      <c r="AA63" s="1202"/>
      <c r="AB63" s="1202"/>
      <c r="AC63" s="1202"/>
      <c r="AD63" s="1202"/>
      <c r="AE63" s="1202"/>
      <c r="AF63" s="1202"/>
      <c r="AG63" s="1202"/>
      <c r="AH63" s="1202"/>
      <c r="AI63" s="1202"/>
      <c r="AJ63" s="1202"/>
      <c r="AK63" s="1202"/>
      <c r="AL63" s="1202"/>
      <c r="AM63" s="1202"/>
      <c r="AN63" s="1202"/>
      <c r="AO63" s="1202"/>
      <c r="AP63" s="1202"/>
      <c r="AQ63" s="1202"/>
      <c r="AR63" s="1202"/>
      <c r="AS63" s="1202"/>
      <c r="AT63" s="1202"/>
      <c r="AU63" s="1202"/>
      <c r="AV63" s="1202"/>
      <c r="AW63" s="1202"/>
      <c r="AX63" s="1202"/>
      <c r="AY63" s="1202"/>
      <c r="AZ63" s="1202"/>
      <c r="BA63" s="1202"/>
      <c r="BB63" s="1202"/>
      <c r="BC63" s="1202"/>
      <c r="BD63" s="1202"/>
      <c r="BE63" s="1202"/>
      <c r="BF63" s="1202"/>
      <c r="BG63" s="1160"/>
      <c r="BH63" s="1160"/>
      <c r="BI63" s="1160"/>
      <c r="BJ63" s="1160"/>
      <c r="BK63" s="1160"/>
      <c r="BL63" s="1160"/>
      <c r="BM63" s="1160"/>
      <c r="BN63" s="1160"/>
      <c r="BO63" s="1160"/>
      <c r="BP63" s="1160"/>
      <c r="BQ63" s="1160"/>
      <c r="BR63" s="1160"/>
      <c r="BS63" s="1160"/>
      <c r="BT63" s="1160"/>
      <c r="BU63" s="1160"/>
      <c r="BV63" s="1160"/>
      <c r="BW63" s="1160"/>
      <c r="BX63" s="1160"/>
      <c r="BY63" s="1160"/>
      <c r="BZ63" s="1160"/>
      <c r="CA63" s="1160"/>
      <c r="CB63" s="1155"/>
      <c r="CC63" s="1155"/>
      <c r="CD63" s="1155"/>
    </row>
    <row r="64" spans="1:82" s="1146" customFormat="1" ht="25.5" customHeight="1">
      <c r="A64" s="1205" t="s">
        <v>977</v>
      </c>
      <c r="B64" s="1177">
        <v>52816.51056192664</v>
      </c>
      <c r="C64" s="1177"/>
      <c r="D64" s="1177">
        <v>48697.36254495909</v>
      </c>
      <c r="E64" s="1177"/>
      <c r="F64" s="1177">
        <v>91281.33994751377</v>
      </c>
      <c r="G64" s="1177"/>
      <c r="H64" s="1206">
        <v>49604.87</v>
      </c>
      <c r="I64" s="1206">
        <v>106197.1</v>
      </c>
      <c r="J64" s="1206">
        <v>118242.1</v>
      </c>
      <c r="K64" s="1206">
        <v>134613.1</v>
      </c>
      <c r="L64" s="1207">
        <v>123405.09202453987</v>
      </c>
      <c r="M64" s="1207">
        <v>76768.5</v>
      </c>
      <c r="N64" s="1207">
        <v>142271.76666666666</v>
      </c>
      <c r="O64" s="1207">
        <v>65533.93333333333</v>
      </c>
      <c r="P64" s="1207"/>
      <c r="Q64" s="1207"/>
      <c r="R64" s="1207"/>
      <c r="S64" s="1207"/>
      <c r="T64" s="1207"/>
      <c r="U64" s="1207"/>
      <c r="V64" s="1207"/>
      <c r="W64" s="1207"/>
      <c r="X64" s="1207"/>
      <c r="Y64" s="1207"/>
      <c r="Z64" s="1207"/>
      <c r="AA64" s="1207"/>
      <c r="AB64" s="1207"/>
      <c r="AC64" s="1207"/>
      <c r="AD64" s="1207"/>
      <c r="AE64" s="1207"/>
      <c r="AF64" s="1207"/>
      <c r="AG64" s="1207"/>
      <c r="AH64" s="1207"/>
      <c r="AI64" s="1207"/>
      <c r="AJ64" s="1207"/>
      <c r="AK64" s="1207"/>
      <c r="AL64" s="1207"/>
      <c r="AM64" s="1207"/>
      <c r="AN64" s="1207"/>
      <c r="AO64" s="1207"/>
      <c r="AP64" s="1207"/>
      <c r="AQ64" s="1207"/>
      <c r="AR64" s="1207"/>
      <c r="AS64" s="1207"/>
      <c r="AT64" s="1207"/>
      <c r="AU64" s="1207"/>
      <c r="AV64" s="1207"/>
      <c r="AW64" s="1207"/>
      <c r="AX64" s="1207"/>
      <c r="AY64" s="1207"/>
      <c r="AZ64" s="1207"/>
      <c r="BA64" s="1207"/>
      <c r="BB64" s="1207"/>
      <c r="BC64" s="1207"/>
      <c r="BD64" s="1207"/>
      <c r="BE64" s="1207"/>
      <c r="BF64" s="1207"/>
      <c r="BG64" s="1207"/>
      <c r="BH64" s="1207"/>
      <c r="BI64" s="1207"/>
      <c r="BJ64" s="1207"/>
      <c r="BK64" s="1207"/>
      <c r="BL64" s="1207"/>
      <c r="BM64" s="1207"/>
      <c r="BN64" s="1207"/>
      <c r="BO64" s="1207"/>
      <c r="BP64" s="1207"/>
      <c r="BQ64" s="1207"/>
      <c r="BR64" s="1207"/>
      <c r="BS64" s="1207"/>
      <c r="BT64" s="1207"/>
      <c r="BU64" s="1207"/>
      <c r="BV64" s="1207"/>
      <c r="BW64" s="1207"/>
      <c r="BX64" s="1207"/>
      <c r="BY64" s="1207"/>
      <c r="BZ64" s="1207"/>
      <c r="CA64" s="1207"/>
      <c r="CB64" s="1155"/>
      <c r="CC64" s="1155"/>
      <c r="CD64" s="1155"/>
    </row>
    <row r="65" spans="1:82" s="1146" customFormat="1" ht="12.75" customHeight="1">
      <c r="A65" s="1205" t="s">
        <v>978</v>
      </c>
      <c r="B65" s="1208">
        <v>0.4198499917984009</v>
      </c>
      <c r="C65" s="1208"/>
      <c r="D65" s="1208">
        <v>0.2706199970245361</v>
      </c>
      <c r="E65" s="1208"/>
      <c r="F65" s="1208">
        <v>0.27707142693655834</v>
      </c>
      <c r="G65" s="1209"/>
      <c r="H65" s="1210">
        <v>0.517400016784668</v>
      </c>
      <c r="I65" s="1210">
        <v>0.39380001068115233</v>
      </c>
      <c r="J65" s="1210">
        <v>0.38349998474121094</v>
      </c>
      <c r="K65" s="1210">
        <v>0.455099983215332</v>
      </c>
      <c r="L65" s="1211">
        <v>0.4011044974827281</v>
      </c>
      <c r="M65" s="1211">
        <v>0.5134726482867322</v>
      </c>
      <c r="N65" s="1211">
        <v>0.4139481410343069</v>
      </c>
      <c r="O65" s="1211">
        <v>0.3933117601161333</v>
      </c>
      <c r="P65" s="1211"/>
      <c r="Q65" s="1211"/>
      <c r="R65" s="1211"/>
      <c r="S65" s="1211"/>
      <c r="T65" s="1211"/>
      <c r="U65" s="1211"/>
      <c r="V65" s="1211"/>
      <c r="W65" s="1211"/>
      <c r="X65" s="1211"/>
      <c r="Y65" s="1211"/>
      <c r="Z65" s="1211"/>
      <c r="AA65" s="1211"/>
      <c r="AB65" s="1211"/>
      <c r="AC65" s="1211"/>
      <c r="AD65" s="1211"/>
      <c r="AE65" s="1211"/>
      <c r="AF65" s="1211"/>
      <c r="AG65" s="1211"/>
      <c r="AH65" s="1211"/>
      <c r="AI65" s="1211"/>
      <c r="AJ65" s="1211"/>
      <c r="AK65" s="1211"/>
      <c r="AL65" s="1211"/>
      <c r="AM65" s="1211"/>
      <c r="AN65" s="1211"/>
      <c r="AO65" s="1211"/>
      <c r="AP65" s="1211"/>
      <c r="AQ65" s="1211"/>
      <c r="AR65" s="1211"/>
      <c r="AS65" s="1211"/>
      <c r="AT65" s="1211"/>
      <c r="AU65" s="1211"/>
      <c r="AV65" s="1211"/>
      <c r="AW65" s="1211"/>
      <c r="AX65" s="1211"/>
      <c r="AY65" s="1211"/>
      <c r="AZ65" s="1211"/>
      <c r="BA65" s="1211"/>
      <c r="BB65" s="1211"/>
      <c r="BC65" s="1211"/>
      <c r="BD65" s="1211"/>
      <c r="BE65" s="1211"/>
      <c r="BF65" s="1211"/>
      <c r="BG65" s="1211"/>
      <c r="BH65" s="1211"/>
      <c r="BI65" s="1211"/>
      <c r="BJ65" s="1211"/>
      <c r="BK65" s="1211"/>
      <c r="BL65" s="1211"/>
      <c r="BM65" s="1211"/>
      <c r="BN65" s="1211"/>
      <c r="BO65" s="1211"/>
      <c r="BP65" s="1211"/>
      <c r="BQ65" s="1211"/>
      <c r="BR65" s="1211"/>
      <c r="BS65" s="1211"/>
      <c r="BT65" s="1211"/>
      <c r="BU65" s="1211"/>
      <c r="BV65" s="1211"/>
      <c r="BW65" s="1211"/>
      <c r="BX65" s="1211"/>
      <c r="BY65" s="1211"/>
      <c r="BZ65" s="1211"/>
      <c r="CA65" s="1211"/>
      <c r="CB65" s="1212"/>
      <c r="CC65" s="1212"/>
      <c r="CD65" s="1212"/>
    </row>
    <row r="66" spans="1:82" s="1146" customFormat="1" ht="12.75" customHeight="1">
      <c r="A66" s="1205" t="s">
        <v>979</v>
      </c>
      <c r="B66" s="1177">
        <v>25853.658750000002</v>
      </c>
      <c r="C66" s="1177"/>
      <c r="D66" s="1177">
        <v>12973.062951271746</v>
      </c>
      <c r="E66" s="1177"/>
      <c r="F66" s="1177">
        <v>28054.740714285716</v>
      </c>
      <c r="G66" s="1177"/>
      <c r="H66" s="1206">
        <v>25664.87</v>
      </c>
      <c r="I66" s="1206">
        <v>41824.07</v>
      </c>
      <c r="J66" s="1206">
        <v>45340.09</v>
      </c>
      <c r="K66" s="1206">
        <v>61265.09</v>
      </c>
      <c r="L66" s="1207">
        <v>53788.19333333333</v>
      </c>
      <c r="M66" s="1207">
        <v>39418.525</v>
      </c>
      <c r="N66" s="1207">
        <v>58893.13333333333</v>
      </c>
      <c r="O66" s="1207">
        <v>38662.9</v>
      </c>
      <c r="P66" s="1207"/>
      <c r="Q66" s="1207"/>
      <c r="R66" s="1207"/>
      <c r="S66" s="1207"/>
      <c r="T66" s="1207"/>
      <c r="U66" s="1207"/>
      <c r="V66" s="1207"/>
      <c r="W66" s="1207"/>
      <c r="X66" s="1207"/>
      <c r="Y66" s="1207"/>
      <c r="Z66" s="1207"/>
      <c r="AA66" s="1207"/>
      <c r="AB66" s="1207"/>
      <c r="AC66" s="1207"/>
      <c r="AD66" s="1207"/>
      <c r="AE66" s="1207"/>
      <c r="AF66" s="1207"/>
      <c r="AG66" s="1207"/>
      <c r="AH66" s="1207"/>
      <c r="AI66" s="1207"/>
      <c r="AJ66" s="1207"/>
      <c r="AK66" s="1207"/>
      <c r="AL66" s="1207"/>
      <c r="AM66" s="1207"/>
      <c r="AN66" s="1207"/>
      <c r="AO66" s="1207"/>
      <c r="AP66" s="1207"/>
      <c r="AQ66" s="1207"/>
      <c r="AR66" s="1207"/>
      <c r="AS66" s="1207"/>
      <c r="AT66" s="1207"/>
      <c r="AU66" s="1207"/>
      <c r="AV66" s="1207"/>
      <c r="AW66" s="1207"/>
      <c r="AX66" s="1207"/>
      <c r="AY66" s="1207"/>
      <c r="AZ66" s="1207"/>
      <c r="BA66" s="1207"/>
      <c r="BB66" s="1207"/>
      <c r="BC66" s="1207"/>
      <c r="BD66" s="1207"/>
      <c r="BE66" s="1207"/>
      <c r="BF66" s="1207"/>
      <c r="BG66" s="1207"/>
      <c r="BH66" s="1207"/>
      <c r="BI66" s="1207"/>
      <c r="BJ66" s="1207"/>
      <c r="BK66" s="1207"/>
      <c r="BL66" s="1207"/>
      <c r="BM66" s="1207"/>
      <c r="BN66" s="1207"/>
      <c r="BO66" s="1207"/>
      <c r="BP66" s="1207"/>
      <c r="BQ66" s="1207"/>
      <c r="BR66" s="1207"/>
      <c r="BS66" s="1207"/>
      <c r="BT66" s="1207"/>
      <c r="BU66" s="1207"/>
      <c r="BV66" s="1207"/>
      <c r="BW66" s="1207"/>
      <c r="BX66" s="1207"/>
      <c r="BY66" s="1207"/>
      <c r="BZ66" s="1207"/>
      <c r="CA66" s="1207"/>
      <c r="CB66" s="1155"/>
      <c r="CC66" s="1155"/>
      <c r="CD66" s="1155"/>
    </row>
    <row r="67" spans="1:82" s="1146" customFormat="1" ht="12.75" customHeight="1">
      <c r="A67" s="1205" t="s">
        <v>980</v>
      </c>
      <c r="B67" s="1208">
        <v>0.17228749871253968</v>
      </c>
      <c r="C67" s="1208"/>
      <c r="D67" s="1208">
        <v>0.12677999877929685</v>
      </c>
      <c r="E67" s="1208"/>
      <c r="F67" s="1208">
        <v>0.16521428925650464</v>
      </c>
      <c r="G67" s="1209"/>
      <c r="H67" s="1210">
        <v>0.17299999237060548</v>
      </c>
      <c r="I67" s="1210">
        <v>0.21459999084472656</v>
      </c>
      <c r="J67" s="1210">
        <v>0.19639999389648438</v>
      </c>
      <c r="K67" s="1210">
        <v>0.1725</v>
      </c>
      <c r="L67" s="1211">
        <v>0.2258062752081404</v>
      </c>
      <c r="M67" s="1211">
        <v>0.20216625308557545</v>
      </c>
      <c r="N67" s="1211">
        <v>0.22705840207696398</v>
      </c>
      <c r="O67" s="1211">
        <v>0.1258686339596077</v>
      </c>
      <c r="P67" s="1211"/>
      <c r="Q67" s="1211"/>
      <c r="R67" s="1211"/>
      <c r="S67" s="1211"/>
      <c r="T67" s="1211"/>
      <c r="U67" s="1211"/>
      <c r="V67" s="1211"/>
      <c r="W67" s="1211"/>
      <c r="X67" s="1211"/>
      <c r="Y67" s="1211"/>
      <c r="Z67" s="1211"/>
      <c r="AA67" s="1211"/>
      <c r="AB67" s="1211"/>
      <c r="AC67" s="1211"/>
      <c r="AD67" s="1211"/>
      <c r="AE67" s="1211"/>
      <c r="AF67" s="1211"/>
      <c r="AG67" s="1211"/>
      <c r="AH67" s="1211"/>
      <c r="AI67" s="1211"/>
      <c r="AJ67" s="1211"/>
      <c r="AK67" s="1211"/>
      <c r="AL67" s="1211"/>
      <c r="AM67" s="1211"/>
      <c r="AN67" s="1211"/>
      <c r="AO67" s="1211"/>
      <c r="AP67" s="1211"/>
      <c r="AQ67" s="1211"/>
      <c r="AR67" s="1211"/>
      <c r="AS67" s="1211"/>
      <c r="AT67" s="1211"/>
      <c r="AU67" s="1211"/>
      <c r="AV67" s="1211"/>
      <c r="AW67" s="1211"/>
      <c r="AX67" s="1211"/>
      <c r="AY67" s="1211"/>
      <c r="AZ67" s="1211"/>
      <c r="BA67" s="1211"/>
      <c r="BB67" s="1211"/>
      <c r="BC67" s="1211"/>
      <c r="BD67" s="1211"/>
      <c r="BE67" s="1211"/>
      <c r="BF67" s="1211"/>
      <c r="BG67" s="1211"/>
      <c r="BH67" s="1211"/>
      <c r="BI67" s="1211"/>
      <c r="BJ67" s="1211"/>
      <c r="BK67" s="1211"/>
      <c r="BL67" s="1211"/>
      <c r="BM67" s="1211"/>
      <c r="BN67" s="1211"/>
      <c r="BO67" s="1211"/>
      <c r="BP67" s="1211"/>
      <c r="BQ67" s="1211"/>
      <c r="BR67" s="1211"/>
      <c r="BS67" s="1211"/>
      <c r="BT67" s="1211"/>
      <c r="BU67" s="1211"/>
      <c r="BV67" s="1211"/>
      <c r="BW67" s="1211"/>
      <c r="BX67" s="1211"/>
      <c r="BY67" s="1211"/>
      <c r="BZ67" s="1211"/>
      <c r="CA67" s="1211"/>
      <c r="CB67" s="1212"/>
      <c r="CC67" s="1212"/>
      <c r="CD67" s="1212"/>
    </row>
    <row r="68" spans="1:82" s="1146" customFormat="1" ht="25.5" customHeight="1">
      <c r="A68" s="650" t="s">
        <v>981</v>
      </c>
      <c r="B68" s="1177">
        <v>14166.921458333334</v>
      </c>
      <c r="C68" s="1177"/>
      <c r="D68" s="1177">
        <v>5487.052979991715</v>
      </c>
      <c r="E68" s="1177"/>
      <c r="F68" s="1177">
        <v>12865.73976190476</v>
      </c>
      <c r="G68" s="1177"/>
      <c r="H68" s="1206">
        <v>17082.87</v>
      </c>
      <c r="I68" s="1206">
        <v>19029.07</v>
      </c>
      <c r="J68" s="1206">
        <v>22119.09</v>
      </c>
      <c r="K68" s="1206">
        <v>38044.09</v>
      </c>
      <c r="L68" s="1207">
        <v>23507.52666666666</v>
      </c>
      <c r="M68" s="1207">
        <v>23898.525</v>
      </c>
      <c r="N68" s="1207">
        <v>26589.13333333333</v>
      </c>
      <c r="O68" s="1207">
        <v>26289.9</v>
      </c>
      <c r="P68" s="1207"/>
      <c r="Q68" s="1207"/>
      <c r="R68" s="1207"/>
      <c r="S68" s="1207"/>
      <c r="T68" s="1207"/>
      <c r="U68" s="1207"/>
      <c r="V68" s="1207"/>
      <c r="W68" s="1207"/>
      <c r="X68" s="1207"/>
      <c r="Y68" s="1207"/>
      <c r="Z68" s="1207"/>
      <c r="AA68" s="1207"/>
      <c r="AB68" s="1207"/>
      <c r="AC68" s="1207"/>
      <c r="AD68" s="1207"/>
      <c r="AE68" s="1207"/>
      <c r="AF68" s="1207"/>
      <c r="AG68" s="1207"/>
      <c r="AH68" s="1207"/>
      <c r="AI68" s="1207"/>
      <c r="AJ68" s="1207"/>
      <c r="AK68" s="1207"/>
      <c r="AL68" s="1207"/>
      <c r="AM68" s="1207"/>
      <c r="AN68" s="1207"/>
      <c r="AO68" s="1207"/>
      <c r="AP68" s="1207"/>
      <c r="AQ68" s="1207"/>
      <c r="AR68" s="1207"/>
      <c r="AS68" s="1207"/>
      <c r="AT68" s="1207"/>
      <c r="AU68" s="1207"/>
      <c r="AV68" s="1207"/>
      <c r="AW68" s="1207"/>
      <c r="AX68" s="1207"/>
      <c r="AY68" s="1207"/>
      <c r="AZ68" s="1207"/>
      <c r="BA68" s="1207"/>
      <c r="BB68" s="1207"/>
      <c r="BC68" s="1207"/>
      <c r="BD68" s="1207"/>
      <c r="BE68" s="1207"/>
      <c r="BF68" s="1207"/>
      <c r="BG68" s="1207"/>
      <c r="BH68" s="1207"/>
      <c r="BI68" s="1207"/>
      <c r="BJ68" s="1207"/>
      <c r="BK68" s="1207"/>
      <c r="BL68" s="1207"/>
      <c r="BM68" s="1207"/>
      <c r="BN68" s="1207"/>
      <c r="BO68" s="1207"/>
      <c r="BP68" s="1207"/>
      <c r="BQ68" s="1207"/>
      <c r="BR68" s="1207"/>
      <c r="BS68" s="1207"/>
      <c r="BT68" s="1207"/>
      <c r="BU68" s="1207"/>
      <c r="BV68" s="1207"/>
      <c r="BW68" s="1207"/>
      <c r="BX68" s="1207"/>
      <c r="BY68" s="1207"/>
      <c r="BZ68" s="1207"/>
      <c r="CA68" s="1207"/>
      <c r="CB68" s="1155"/>
      <c r="CC68" s="1155"/>
      <c r="CD68" s="1155"/>
    </row>
    <row r="69" spans="1:82" s="1146" customFormat="1" ht="25.5" customHeight="1">
      <c r="A69" s="650" t="s">
        <v>982</v>
      </c>
      <c r="B69" s="1177">
        <v>11227.300833333333</v>
      </c>
      <c r="C69" s="1177"/>
      <c r="D69" s="1177">
        <v>1115.5300255382717</v>
      </c>
      <c r="E69" s="1177"/>
      <c r="F69" s="1213">
        <v>2372.2404761904754</v>
      </c>
      <c r="G69" s="1213"/>
      <c r="H69" s="1206">
        <v>15653.87</v>
      </c>
      <c r="I69" s="1206">
        <v>13215.27</v>
      </c>
      <c r="J69" s="1206">
        <v>16974.690000000002</v>
      </c>
      <c r="K69" s="1206">
        <v>32899.689999999995</v>
      </c>
      <c r="L69" s="1207">
        <v>0</v>
      </c>
      <c r="M69" s="1207">
        <v>0</v>
      </c>
      <c r="N69" s="1207">
        <v>0</v>
      </c>
      <c r="O69" s="1207">
        <v>0</v>
      </c>
      <c r="P69" s="1207"/>
      <c r="Q69" s="1207"/>
      <c r="R69" s="1207"/>
      <c r="S69" s="1207"/>
      <c r="T69" s="1207"/>
      <c r="U69" s="1207"/>
      <c r="V69" s="1207"/>
      <c r="W69" s="1207"/>
      <c r="X69" s="1207"/>
      <c r="Y69" s="1207"/>
      <c r="Z69" s="1207"/>
      <c r="AA69" s="1207"/>
      <c r="AB69" s="1207"/>
      <c r="AC69" s="1207"/>
      <c r="AD69" s="1207"/>
      <c r="AE69" s="1207"/>
      <c r="AF69" s="1207"/>
      <c r="AG69" s="1207"/>
      <c r="AH69" s="1207"/>
      <c r="AI69" s="1207"/>
      <c r="AJ69" s="1207"/>
      <c r="AK69" s="1207"/>
      <c r="AL69" s="1207"/>
      <c r="AM69" s="1207"/>
      <c r="AN69" s="1207"/>
      <c r="AO69" s="1207"/>
      <c r="AP69" s="1207"/>
      <c r="AQ69" s="1207"/>
      <c r="AR69" s="1207"/>
      <c r="AS69" s="1207"/>
      <c r="AT69" s="1207"/>
      <c r="AU69" s="1207"/>
      <c r="AV69" s="1207"/>
      <c r="AW69" s="1207"/>
      <c r="AX69" s="1207"/>
      <c r="AY69" s="1207"/>
      <c r="AZ69" s="1207"/>
      <c r="BA69" s="1207"/>
      <c r="BB69" s="1207"/>
      <c r="BC69" s="1207"/>
      <c r="BD69" s="1207"/>
      <c r="BE69" s="1207"/>
      <c r="BF69" s="1207"/>
      <c r="BG69" s="1207"/>
      <c r="BH69" s="1207"/>
      <c r="BI69" s="1207"/>
      <c r="BJ69" s="1207"/>
      <c r="BK69" s="1207"/>
      <c r="BL69" s="1207"/>
      <c r="BM69" s="1207"/>
      <c r="BN69" s="1207"/>
      <c r="BO69" s="1207"/>
      <c r="BP69" s="1207"/>
      <c r="BQ69" s="1207"/>
      <c r="BR69" s="1207"/>
      <c r="BS69" s="1207"/>
      <c r="BT69" s="1207"/>
      <c r="BU69" s="1207"/>
      <c r="BV69" s="1207"/>
      <c r="BW69" s="1207"/>
      <c r="BX69" s="1207"/>
      <c r="BY69" s="1207"/>
      <c r="BZ69" s="1207"/>
      <c r="CA69" s="1207"/>
      <c r="CB69" s="1155"/>
      <c r="CC69" s="1155"/>
      <c r="CD69" s="1155"/>
    </row>
    <row r="70" spans="1:82" s="1146" customFormat="1" ht="25.5" customHeight="1">
      <c r="A70" s="650" t="s">
        <v>871</v>
      </c>
      <c r="B70" s="1214"/>
      <c r="C70" s="1214"/>
      <c r="D70" s="1214"/>
      <c r="E70" s="1214"/>
      <c r="F70" s="1214"/>
      <c r="G70" s="1214"/>
      <c r="H70" s="1206"/>
      <c r="I70" s="1206"/>
      <c r="J70" s="1206"/>
      <c r="K70" s="1206"/>
      <c r="L70" s="1207">
        <v>0</v>
      </c>
      <c r="M70" s="1207">
        <v>0</v>
      </c>
      <c r="N70" s="1207">
        <v>0</v>
      </c>
      <c r="O70" s="1207">
        <v>0</v>
      </c>
      <c r="P70" s="1207"/>
      <c r="Q70" s="1207"/>
      <c r="R70" s="1207"/>
      <c r="S70" s="1207"/>
      <c r="T70" s="1207"/>
      <c r="U70" s="1207"/>
      <c r="V70" s="1207"/>
      <c r="W70" s="1207"/>
      <c r="X70" s="1207"/>
      <c r="Y70" s="1207"/>
      <c r="Z70" s="1207"/>
      <c r="AA70" s="1207"/>
      <c r="AB70" s="1207"/>
      <c r="AC70" s="1207"/>
      <c r="AD70" s="1207"/>
      <c r="AE70" s="1207"/>
      <c r="AF70" s="1207"/>
      <c r="AG70" s="1207"/>
      <c r="AH70" s="1207"/>
      <c r="AI70" s="1207"/>
      <c r="AJ70" s="1207"/>
      <c r="AK70" s="1207"/>
      <c r="AL70" s="1207"/>
      <c r="AM70" s="1207"/>
      <c r="AN70" s="1207"/>
      <c r="AO70" s="1207"/>
      <c r="AP70" s="1207"/>
      <c r="AQ70" s="1207"/>
      <c r="AR70" s="1207"/>
      <c r="AS70" s="1207"/>
      <c r="AT70" s="1207"/>
      <c r="AU70" s="1207"/>
      <c r="AV70" s="1207"/>
      <c r="AW70" s="1207"/>
      <c r="AX70" s="1207"/>
      <c r="AY70" s="1207"/>
      <c r="AZ70" s="1207"/>
      <c r="BA70" s="1207"/>
      <c r="BB70" s="1207"/>
      <c r="BC70" s="1207"/>
      <c r="BD70" s="1207"/>
      <c r="BE70" s="1207"/>
      <c r="BF70" s="1207"/>
      <c r="BG70" s="1207"/>
      <c r="BH70" s="1207"/>
      <c r="BI70" s="1207"/>
      <c r="BJ70" s="1207"/>
      <c r="BK70" s="1207"/>
      <c r="BL70" s="1207"/>
      <c r="BM70" s="1207"/>
      <c r="BN70" s="1207"/>
      <c r="BO70" s="1207"/>
      <c r="BP70" s="1207"/>
      <c r="BQ70" s="1207"/>
      <c r="BR70" s="1207"/>
      <c r="BS70" s="1207"/>
      <c r="BT70" s="1207"/>
      <c r="BU70" s="1207"/>
      <c r="BV70" s="1207"/>
      <c r="BW70" s="1207"/>
      <c r="BX70" s="1207"/>
      <c r="BY70" s="1207"/>
      <c r="BZ70" s="1207"/>
      <c r="CA70" s="1207"/>
      <c r="CB70" s="1155"/>
      <c r="CC70" s="1155"/>
      <c r="CD70" s="1155"/>
    </row>
    <row r="71" spans="1:81" s="1146" customFormat="1" ht="12.75" customHeight="1">
      <c r="A71" s="650" t="s">
        <v>944</v>
      </c>
      <c r="B71" s="1215">
        <v>2.125</v>
      </c>
      <c r="C71" s="1215"/>
      <c r="D71" s="1215">
        <v>1.5400000095367432</v>
      </c>
      <c r="E71" s="1215"/>
      <c r="F71" s="1215">
        <v>1.7142857142857142</v>
      </c>
      <c r="G71" s="1215"/>
      <c r="H71" s="1216">
        <v>2</v>
      </c>
      <c r="I71" s="1216">
        <v>1</v>
      </c>
      <c r="J71" s="1216">
        <v>1</v>
      </c>
      <c r="K71" s="1216">
        <v>1</v>
      </c>
      <c r="L71" s="1217">
        <v>1.5</v>
      </c>
      <c r="M71" s="1217">
        <v>2</v>
      </c>
      <c r="N71" s="1217">
        <v>1.5</v>
      </c>
      <c r="O71" s="1217">
        <v>1</v>
      </c>
      <c r="P71" s="1217"/>
      <c r="Q71" s="1217"/>
      <c r="R71" s="1217"/>
      <c r="S71" s="1217"/>
      <c r="T71" s="1217"/>
      <c r="U71" s="1217"/>
      <c r="V71" s="1217"/>
      <c r="W71" s="1217"/>
      <c r="X71" s="1217"/>
      <c r="Y71" s="1217"/>
      <c r="Z71" s="1217"/>
      <c r="AA71" s="1217"/>
      <c r="AB71" s="1217"/>
      <c r="AC71" s="1217"/>
      <c r="AD71" s="1217"/>
      <c r="AE71" s="1217"/>
      <c r="AF71" s="1217"/>
      <c r="AG71" s="1217"/>
      <c r="AH71" s="1217"/>
      <c r="AI71" s="1217"/>
      <c r="AJ71" s="1217"/>
      <c r="AK71" s="1217"/>
      <c r="AL71" s="1217"/>
      <c r="AM71" s="1217"/>
      <c r="AN71" s="1217"/>
      <c r="AO71" s="1217"/>
      <c r="AP71" s="1217"/>
      <c r="AQ71" s="1217"/>
      <c r="AR71" s="1217"/>
      <c r="AS71" s="1217"/>
      <c r="AT71" s="1217"/>
      <c r="AU71" s="1217"/>
      <c r="AV71" s="1217"/>
      <c r="AW71" s="1217"/>
      <c r="AX71" s="1217"/>
      <c r="AY71" s="1217"/>
      <c r="AZ71" s="1217"/>
      <c r="BA71" s="1217"/>
      <c r="BB71" s="1217"/>
      <c r="BC71" s="1217"/>
      <c r="BD71" s="1217"/>
      <c r="BE71" s="1217"/>
      <c r="BF71" s="1218"/>
      <c r="BG71" s="1218"/>
      <c r="BH71" s="1218"/>
      <c r="BI71" s="1218"/>
      <c r="BJ71" s="1218"/>
      <c r="BK71" s="1218"/>
      <c r="BL71" s="1218"/>
      <c r="BM71" s="1218"/>
      <c r="BN71" s="1218"/>
      <c r="BO71" s="1218"/>
      <c r="BP71" s="1218"/>
      <c r="BQ71" s="1218"/>
      <c r="BR71" s="1218"/>
      <c r="BS71" s="1218"/>
      <c r="BT71" s="1218"/>
      <c r="BU71" s="1218"/>
      <c r="BV71" s="1218"/>
      <c r="BW71" s="1218"/>
      <c r="BX71" s="1218"/>
      <c r="BY71" s="1218"/>
      <c r="BZ71" s="1218"/>
      <c r="CA71" s="1219"/>
      <c r="CB71" s="1189"/>
      <c r="CC71" s="1189"/>
    </row>
    <row r="72" spans="1:81" s="1146" customFormat="1" ht="12.75" customHeight="1">
      <c r="A72" s="650" t="s">
        <v>983</v>
      </c>
      <c r="B72" s="1215">
        <v>0.4074999960139394</v>
      </c>
      <c r="C72" s="1215"/>
      <c r="D72" s="1215">
        <v>0.2</v>
      </c>
      <c r="E72" s="1215"/>
      <c r="F72" s="1215">
        <v>0.1571428562913622</v>
      </c>
      <c r="G72" s="1215"/>
      <c r="H72" s="1216">
        <v>0</v>
      </c>
      <c r="I72" s="1216">
        <v>0</v>
      </c>
      <c r="J72" s="1216">
        <v>0</v>
      </c>
      <c r="K72" s="1216">
        <v>0</v>
      </c>
      <c r="L72" s="1217">
        <v>0.13</v>
      </c>
      <c r="M72" s="1217">
        <v>0</v>
      </c>
      <c r="N72" s="1217">
        <v>0</v>
      </c>
      <c r="O72" s="1217">
        <v>0.5</v>
      </c>
      <c r="P72" s="1217"/>
      <c r="Q72" s="1217"/>
      <c r="R72" s="1217"/>
      <c r="S72" s="1217"/>
      <c r="T72" s="1217"/>
      <c r="U72" s="1217"/>
      <c r="V72" s="1217"/>
      <c r="W72" s="1217"/>
      <c r="X72" s="1217"/>
      <c r="Y72" s="1217"/>
      <c r="Z72" s="1217"/>
      <c r="AA72" s="1217"/>
      <c r="AB72" s="1217"/>
      <c r="AC72" s="1217"/>
      <c r="AD72" s="1217"/>
      <c r="AE72" s="1217"/>
      <c r="AF72" s="1217"/>
      <c r="AG72" s="1217"/>
      <c r="AH72" s="1217"/>
      <c r="AI72" s="1217"/>
      <c r="AJ72" s="1217"/>
      <c r="AK72" s="1217"/>
      <c r="AL72" s="1217"/>
      <c r="AM72" s="1217"/>
      <c r="AN72" s="1217"/>
      <c r="AO72" s="1217"/>
      <c r="AP72" s="1217"/>
      <c r="AQ72" s="1217"/>
      <c r="AR72" s="1217"/>
      <c r="AS72" s="1217"/>
      <c r="AT72" s="1217"/>
      <c r="AU72" s="1217"/>
      <c r="AV72" s="1217"/>
      <c r="AW72" s="1217"/>
      <c r="AX72" s="1217"/>
      <c r="AY72" s="1217"/>
      <c r="AZ72" s="1217"/>
      <c r="BA72" s="1217"/>
      <c r="BB72" s="1217"/>
      <c r="BC72" s="1217"/>
      <c r="BD72" s="1217"/>
      <c r="BE72" s="1217"/>
      <c r="BF72" s="1218"/>
      <c r="BG72" s="1218"/>
      <c r="BH72" s="1218"/>
      <c r="BI72" s="1218"/>
      <c r="BJ72" s="1218"/>
      <c r="BK72" s="1218"/>
      <c r="BL72" s="1218"/>
      <c r="BM72" s="1218"/>
      <c r="BN72" s="1218"/>
      <c r="BO72" s="1218"/>
      <c r="BP72" s="1218"/>
      <c r="BQ72" s="1218"/>
      <c r="BR72" s="1218"/>
      <c r="BS72" s="1218"/>
      <c r="BT72" s="1218"/>
      <c r="BU72" s="1218"/>
      <c r="BV72" s="1218"/>
      <c r="BW72" s="1218"/>
      <c r="BX72" s="1218"/>
      <c r="BY72" s="1218"/>
      <c r="BZ72" s="1218"/>
      <c r="CA72" s="1219"/>
      <c r="CB72" s="1189"/>
      <c r="CC72" s="1189"/>
    </row>
    <row r="73" spans="1:81" s="1146" customFormat="1" ht="12.75" customHeight="1">
      <c r="A73" s="650" t="s">
        <v>859</v>
      </c>
      <c r="B73" s="1215">
        <v>1.9775000140070915</v>
      </c>
      <c r="C73" s="1215"/>
      <c r="D73" s="1215">
        <v>1.2639999866485596</v>
      </c>
      <c r="E73" s="1215"/>
      <c r="F73" s="1215">
        <v>1.3971428530556815</v>
      </c>
      <c r="G73" s="1215"/>
      <c r="H73" s="1216">
        <v>2</v>
      </c>
      <c r="I73" s="1216">
        <v>1</v>
      </c>
      <c r="J73" s="1216">
        <v>1</v>
      </c>
      <c r="K73" s="1216">
        <v>1</v>
      </c>
      <c r="L73" s="1217">
        <v>1.5</v>
      </c>
      <c r="M73" s="1217">
        <v>1.9972000189751387</v>
      </c>
      <c r="N73" s="1217">
        <v>1.4982250278839842</v>
      </c>
      <c r="O73" s="1217">
        <v>1</v>
      </c>
      <c r="P73" s="1217"/>
      <c r="Q73" s="1217"/>
      <c r="R73" s="1217"/>
      <c r="S73" s="1217"/>
      <c r="T73" s="1217"/>
      <c r="U73" s="1217"/>
      <c r="V73" s="1217"/>
      <c r="W73" s="1217"/>
      <c r="X73" s="1217"/>
      <c r="Y73" s="1217"/>
      <c r="Z73" s="1217"/>
      <c r="AA73" s="1217"/>
      <c r="AB73" s="1217"/>
      <c r="AC73" s="1217"/>
      <c r="AD73" s="1217"/>
      <c r="AE73" s="1217"/>
      <c r="AF73" s="1217"/>
      <c r="AG73" s="1217"/>
      <c r="AH73" s="1217"/>
      <c r="AI73" s="1217"/>
      <c r="AJ73" s="1217"/>
      <c r="AK73" s="1217"/>
      <c r="AL73" s="1217"/>
      <c r="AM73" s="1217"/>
      <c r="AN73" s="1217"/>
      <c r="AO73" s="1217"/>
      <c r="AP73" s="1217"/>
      <c r="AQ73" s="1217"/>
      <c r="AR73" s="1217"/>
      <c r="AS73" s="1217"/>
      <c r="AT73" s="1217"/>
      <c r="AU73" s="1217"/>
      <c r="AV73" s="1217"/>
      <c r="AW73" s="1217"/>
      <c r="AX73" s="1217"/>
      <c r="AY73" s="1217"/>
      <c r="AZ73" s="1217"/>
      <c r="BA73" s="1217"/>
      <c r="BB73" s="1217"/>
      <c r="BC73" s="1217"/>
      <c r="BD73" s="1217"/>
      <c r="BE73" s="1217"/>
      <c r="BF73" s="1220"/>
      <c r="BG73" s="1220"/>
      <c r="BH73" s="1220"/>
      <c r="BI73" s="1220"/>
      <c r="BJ73" s="1220"/>
      <c r="BK73" s="1220"/>
      <c r="BL73" s="1220"/>
      <c r="BM73" s="1220"/>
      <c r="BN73" s="1220"/>
      <c r="BO73" s="1220"/>
      <c r="BP73" s="1220"/>
      <c r="BQ73" s="1220"/>
      <c r="BR73" s="1220"/>
      <c r="BS73" s="1220"/>
      <c r="BT73" s="1220"/>
      <c r="BU73" s="1220"/>
      <c r="BV73" s="1220"/>
      <c r="BW73" s="1220"/>
      <c r="BX73" s="1220"/>
      <c r="BY73" s="1220"/>
      <c r="BZ73" s="1220"/>
      <c r="CA73" s="1219"/>
      <c r="CB73" s="1189"/>
      <c r="CC73" s="1189"/>
    </row>
    <row r="74" spans="1:81" s="1197" customFormat="1" ht="25.5" customHeight="1">
      <c r="A74" s="1190" t="s">
        <v>863</v>
      </c>
      <c r="B74" s="1221">
        <v>31.34019244240886</v>
      </c>
      <c r="C74" s="1221"/>
      <c r="D74" s="1221">
        <v>69.64797824740018</v>
      </c>
      <c r="E74" s="1221"/>
      <c r="F74" s="1221">
        <v>104.63399857643864</v>
      </c>
      <c r="G74" s="1221"/>
      <c r="H74" s="1222">
        <v>26</v>
      </c>
      <c r="I74" s="1222">
        <v>128</v>
      </c>
      <c r="J74" s="1222">
        <v>153</v>
      </c>
      <c r="K74" s="1222">
        <v>153</v>
      </c>
      <c r="L74" s="1218">
        <v>149.33333333333334</v>
      </c>
      <c r="M74" s="1218">
        <v>35.04906836317798</v>
      </c>
      <c r="N74" s="1218">
        <v>158.8546417063523</v>
      </c>
      <c r="O74" s="1218">
        <v>35</v>
      </c>
      <c r="P74" s="1218"/>
      <c r="Q74" s="1218"/>
      <c r="R74" s="1218"/>
      <c r="S74" s="1218"/>
      <c r="T74" s="1218"/>
      <c r="U74" s="1218"/>
      <c r="V74" s="1218"/>
      <c r="W74" s="1218"/>
      <c r="X74" s="1218"/>
      <c r="Y74" s="1218"/>
      <c r="Z74" s="1218"/>
      <c r="AA74" s="1218"/>
      <c r="AB74" s="1218"/>
      <c r="AC74" s="1218"/>
      <c r="AD74" s="1218"/>
      <c r="AE74" s="1218"/>
      <c r="AF74" s="1218"/>
      <c r="AG74" s="1218"/>
      <c r="AH74" s="1218"/>
      <c r="AI74" s="1218"/>
      <c r="AJ74" s="1218"/>
      <c r="AK74" s="1218"/>
      <c r="AL74" s="1218"/>
      <c r="AM74" s="1218"/>
      <c r="AN74" s="1218"/>
      <c r="AO74" s="1218"/>
      <c r="AP74" s="1218"/>
      <c r="AQ74" s="1218"/>
      <c r="AR74" s="1218"/>
      <c r="AS74" s="1218"/>
      <c r="AT74" s="1218"/>
      <c r="AU74" s="1218"/>
      <c r="AV74" s="1218"/>
      <c r="AW74" s="1218"/>
      <c r="AX74" s="1218"/>
      <c r="AY74" s="1218"/>
      <c r="AZ74" s="1218"/>
      <c r="BA74" s="1218"/>
      <c r="BB74" s="1218"/>
      <c r="BC74" s="1218"/>
      <c r="BD74" s="1218"/>
      <c r="BE74" s="1218"/>
      <c r="BF74" s="1223"/>
      <c r="BG74" s="1223"/>
      <c r="BH74" s="1223"/>
      <c r="BI74" s="1223"/>
      <c r="BJ74" s="1223"/>
      <c r="BK74" s="1223"/>
      <c r="BL74" s="1223"/>
      <c r="BM74" s="1223"/>
      <c r="BN74" s="1223"/>
      <c r="BO74" s="1223"/>
      <c r="BP74" s="1223"/>
      <c r="BQ74" s="1223"/>
      <c r="BR74" s="1223"/>
      <c r="BS74" s="1223"/>
      <c r="BT74" s="1223"/>
      <c r="BU74" s="1223"/>
      <c r="BV74" s="1223"/>
      <c r="BW74" s="1223"/>
      <c r="BX74" s="1223"/>
      <c r="BY74" s="1223"/>
      <c r="BZ74" s="1223"/>
      <c r="CA74" s="1224"/>
      <c r="CB74" s="1196"/>
      <c r="CC74" s="1196"/>
    </row>
  </sheetData>
  <sheetProtection password="BF82" sheet="1" selectLockedCells="1" selectUnlockedCells="1"/>
  <printOptions/>
  <pageMargins left="0.39375" right="0.39375" top="0.39375" bottom="0.7875" header="0.5118055555555555" footer="0.39375"/>
  <pageSetup horizontalDpi="300" verticalDpi="300" orientation="portrait" paperSize="8"/>
  <headerFooter alignWithMargins="0">
    <oddFooter>&amp;C&amp;8&amp;F - Feuille &amp;A - page &amp;P / &amp;N</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K58"/>
  <sheetViews>
    <sheetView zoomScalePageLayoutView="0" workbookViewId="0" topLeftCell="A1">
      <selection activeCell="A1" sqref="A1"/>
    </sheetView>
  </sheetViews>
  <sheetFormatPr defaultColWidth="11.421875" defaultRowHeight="12.75"/>
  <cols>
    <col min="1" max="1" width="31.421875" style="905" customWidth="1"/>
    <col min="2" max="5" width="9.140625" style="0" customWidth="1"/>
    <col min="6" max="7" width="9.140625" style="1225" customWidth="1"/>
    <col min="8" max="8" width="9.140625" style="0" customWidth="1"/>
    <col min="9" max="9" width="9.140625" style="1225" customWidth="1"/>
  </cols>
  <sheetData>
    <row r="1" spans="1:4" s="4" customFormat="1" ht="30" customHeight="1">
      <c r="A1" s="5"/>
      <c r="B1" s="1226"/>
      <c r="C1" s="7"/>
      <c r="D1" s="42"/>
    </row>
    <row r="2" spans="1:3" s="11" customFormat="1" ht="42.75" customHeight="1">
      <c r="A2" s="1227" t="s">
        <v>984</v>
      </c>
      <c r="B2" s="1228"/>
      <c r="C2" s="10"/>
    </row>
    <row r="3" spans="1:3" s="11" customFormat="1" ht="12.75">
      <c r="A3" s="12"/>
      <c r="B3" s="1229"/>
      <c r="C3" s="14"/>
    </row>
    <row r="4" spans="1:9" s="15" customFormat="1" ht="12.75" customHeight="1">
      <c r="A4" s="1366" t="s">
        <v>985</v>
      </c>
      <c r="B4" s="1366"/>
      <c r="C4" s="1366"/>
      <c r="D4" s="1366"/>
      <c r="E4" s="1366"/>
      <c r="F4" s="1366"/>
      <c r="G4" s="1366"/>
      <c r="H4" s="1366"/>
      <c r="I4" s="1230" t="s">
        <v>1</v>
      </c>
    </row>
    <row r="5" spans="1:9" s="15" customFormat="1" ht="12.75" customHeight="1">
      <c r="A5" s="1366" t="s">
        <v>986</v>
      </c>
      <c r="B5" s="1366"/>
      <c r="C5" s="1366"/>
      <c r="D5" s="1366"/>
      <c r="E5" s="1366"/>
      <c r="F5" s="1366"/>
      <c r="G5" s="1366"/>
      <c r="H5" s="1366"/>
      <c r="I5" s="1231">
        <f>DATEVER</f>
        <v>43515</v>
      </c>
    </row>
    <row r="6" spans="1:9" s="15" customFormat="1" ht="12.75" customHeight="1">
      <c r="A6" s="1366" t="s">
        <v>987</v>
      </c>
      <c r="B6" s="1366"/>
      <c r="C6" s="1366"/>
      <c r="D6" s="1366"/>
      <c r="E6" s="1366"/>
      <c r="F6" s="1366"/>
      <c r="G6" s="1366"/>
      <c r="H6" s="1366"/>
      <c r="I6" s="44"/>
    </row>
    <row r="7" spans="1:9" s="15" customFormat="1" ht="28.5" customHeight="1">
      <c r="A7" s="1366" t="s">
        <v>988</v>
      </c>
      <c r="B7" s="1366"/>
      <c r="C7" s="1366"/>
      <c r="D7" s="1366"/>
      <c r="E7" s="1366"/>
      <c r="F7" s="1366"/>
      <c r="G7" s="1366"/>
      <c r="H7" s="1366"/>
      <c r="I7" s="44"/>
    </row>
    <row r="8" spans="1:4" s="15" customFormat="1" ht="12.75">
      <c r="A8" s="1366"/>
      <c r="B8" s="1366"/>
      <c r="C8" s="1366"/>
      <c r="D8" s="1366"/>
    </row>
    <row r="9" spans="1:10" s="1235" customFormat="1" ht="12.75">
      <c r="A9" s="1232" t="s">
        <v>989</v>
      </c>
      <c r="B9" s="1233" t="s">
        <v>990</v>
      </c>
      <c r="C9" s="1234" t="s">
        <v>991</v>
      </c>
      <c r="D9" s="1234" t="s">
        <v>992</v>
      </c>
      <c r="E9" s="1234" t="s">
        <v>993</v>
      </c>
      <c r="F9" s="1234" t="s">
        <v>994</v>
      </c>
      <c r="G9" s="1234" t="s">
        <v>995</v>
      </c>
      <c r="H9" s="1234" t="s">
        <v>324</v>
      </c>
      <c r="I9" s="1234" t="s">
        <v>996</v>
      </c>
      <c r="J9" s="1232" t="s">
        <v>997</v>
      </c>
    </row>
    <row r="10" spans="1:10" s="1239" customFormat="1" ht="25.5" customHeight="1">
      <c r="A10" s="1236"/>
      <c r="B10" s="1237"/>
      <c r="C10" s="1237"/>
      <c r="D10" s="1237"/>
      <c r="E10" s="1238" t="s">
        <v>998</v>
      </c>
      <c r="F10" s="1238" t="s">
        <v>998</v>
      </c>
      <c r="G10" s="1238" t="s">
        <v>998</v>
      </c>
      <c r="H10" s="1238" t="s">
        <v>998</v>
      </c>
      <c r="I10" s="1238" t="s">
        <v>999</v>
      </c>
      <c r="J10" s="1238"/>
    </row>
    <row r="11" spans="1:10" s="1241" customFormat="1" ht="12.75" customHeight="1" hidden="1">
      <c r="A11" s="1236"/>
      <c r="B11" s="1240"/>
      <c r="C11" s="1240"/>
      <c r="D11" s="1240"/>
      <c r="E11" s="1240"/>
      <c r="F11" s="1240"/>
      <c r="G11" s="1240"/>
      <c r="H11" s="1240"/>
      <c r="I11" s="1240"/>
      <c r="J11" s="1240"/>
    </row>
    <row r="12" spans="1:10" s="1235" customFormat="1" ht="12.75">
      <c r="A12" s="1242" t="s">
        <v>1000</v>
      </c>
      <c r="B12" s="1243">
        <v>1</v>
      </c>
      <c r="C12" s="1243"/>
      <c r="D12" s="1243">
        <v>1</v>
      </c>
      <c r="E12" s="1244">
        <v>1</v>
      </c>
      <c r="F12" s="1244">
        <v>1</v>
      </c>
      <c r="G12" s="1244">
        <v>1</v>
      </c>
      <c r="H12" s="1244">
        <v>1</v>
      </c>
      <c r="I12" s="1244">
        <v>1</v>
      </c>
      <c r="J12" s="1245" t="s">
        <v>1001</v>
      </c>
    </row>
    <row r="13" spans="1:10" s="1235" customFormat="1" ht="12.75">
      <c r="A13" s="1242" t="s">
        <v>1002</v>
      </c>
      <c r="B13" s="1243">
        <v>1</v>
      </c>
      <c r="C13" s="1243"/>
      <c r="D13" s="1243">
        <v>1</v>
      </c>
      <c r="E13" s="1244">
        <v>1.3402333972717948</v>
      </c>
      <c r="F13" s="1244">
        <v>1.1584218324194864</v>
      </c>
      <c r="G13" s="1244">
        <v>1.1230574190089566</v>
      </c>
      <c r="H13" s="1244">
        <v>1.1389009740903975</v>
      </c>
      <c r="I13" s="1244">
        <v>1.4574507531854297</v>
      </c>
      <c r="J13" s="1245" t="s">
        <v>1003</v>
      </c>
    </row>
    <row r="14" spans="1:10" s="1235" customFormat="1" ht="12.75">
      <c r="A14" s="1242" t="s">
        <v>1004</v>
      </c>
      <c r="B14" s="1243">
        <v>1</v>
      </c>
      <c r="C14" s="1243"/>
      <c r="D14" s="1243">
        <v>1</v>
      </c>
      <c r="E14" s="1244">
        <v>1.610972705800369</v>
      </c>
      <c r="F14" s="1244">
        <v>1.6751193888946398</v>
      </c>
      <c r="G14" s="1244">
        <v>1.3835469134218272</v>
      </c>
      <c r="H14" s="1244">
        <v>1.087415158403445</v>
      </c>
      <c r="I14" s="1244">
        <v>1.6331430234021949</v>
      </c>
      <c r="J14" s="1245" t="s">
        <v>1005</v>
      </c>
    </row>
    <row r="15" spans="1:10" s="1235" customFormat="1" ht="12.75">
      <c r="A15" s="1242" t="s">
        <v>1006</v>
      </c>
      <c r="B15" s="1243">
        <v>1</v>
      </c>
      <c r="C15" s="1243"/>
      <c r="D15" s="1243">
        <v>1</v>
      </c>
      <c r="E15" s="1244">
        <v>1</v>
      </c>
      <c r="F15" s="1244">
        <v>1</v>
      </c>
      <c r="G15" s="1244">
        <v>1</v>
      </c>
      <c r="H15" s="1244">
        <v>1</v>
      </c>
      <c r="I15" s="1244">
        <v>0.7135734216026114</v>
      </c>
      <c r="J15" s="1245" t="s">
        <v>1007</v>
      </c>
    </row>
    <row r="16" spans="1:10" s="1235" customFormat="1" ht="12.75">
      <c r="A16" s="1242"/>
      <c r="B16" s="1243"/>
      <c r="C16" s="1243"/>
      <c r="D16" s="1243"/>
      <c r="E16" s="1244"/>
      <c r="F16" s="1244"/>
      <c r="G16" s="1244"/>
      <c r="H16" s="1244"/>
      <c r="I16" s="1244"/>
      <c r="J16" s="1245"/>
    </row>
    <row r="17" spans="1:10" s="1235" customFormat="1" ht="12.75">
      <c r="A17" s="1242"/>
      <c r="B17" s="1243"/>
      <c r="C17" s="1243"/>
      <c r="D17" s="1243"/>
      <c r="E17" s="1244"/>
      <c r="F17" s="1244"/>
      <c r="G17" s="1244"/>
      <c r="H17" s="1244"/>
      <c r="I17" s="1244"/>
      <c r="J17" s="1245"/>
    </row>
    <row r="18" spans="1:10" s="1235" customFormat="1" ht="12.75">
      <c r="A18" s="1246" t="s">
        <v>1008</v>
      </c>
      <c r="B18" s="1247">
        <v>0.5</v>
      </c>
      <c r="C18" s="1247"/>
      <c r="D18" s="1247">
        <v>0.5</v>
      </c>
      <c r="E18" s="1248">
        <v>0.6186325696876283</v>
      </c>
      <c r="F18" s="1248">
        <v>0.3792734227183762</v>
      </c>
      <c r="G18" s="1248">
        <v>0.6432031885999101</v>
      </c>
      <c r="H18" s="1248">
        <v>0.7375884738113709</v>
      </c>
      <c r="I18" s="1248">
        <v>0.4975658678883466</v>
      </c>
      <c r="J18" s="1247" t="s">
        <v>1009</v>
      </c>
    </row>
    <row r="19" spans="1:10" s="1235" customFormat="1" ht="12.75">
      <c r="A19" s="1246" t="s">
        <v>1010</v>
      </c>
      <c r="B19" s="1247">
        <v>0.5</v>
      </c>
      <c r="C19" s="1247"/>
      <c r="D19" s="1247">
        <v>0.5</v>
      </c>
      <c r="E19" s="1248">
        <v>0.8503249381698934</v>
      </c>
      <c r="F19" s="1248">
        <v>0.4270562407413825</v>
      </c>
      <c r="G19" s="1248">
        <v>0.7105850480823045</v>
      </c>
      <c r="H19" s="1248">
        <v>0.8878450057212596</v>
      </c>
      <c r="I19" s="1248">
        <v>0.7894179841139268</v>
      </c>
      <c r="J19" s="1247" t="s">
        <v>1011</v>
      </c>
    </row>
    <row r="20" spans="1:10" s="1235" customFormat="1" ht="12.75">
      <c r="A20" s="1246" t="s">
        <v>1012</v>
      </c>
      <c r="B20" s="1247">
        <v>1</v>
      </c>
      <c r="C20" s="1247"/>
      <c r="D20" s="1247">
        <v>0.5</v>
      </c>
      <c r="E20" s="1248">
        <v>0.6484814670636703</v>
      </c>
      <c r="F20" s="1248">
        <v>0.3923924689866154</v>
      </c>
      <c r="G20" s="1248">
        <v>0.588301246999724</v>
      </c>
      <c r="H20" s="1248">
        <v>0.7797239440900667</v>
      </c>
      <c r="I20" s="1248">
        <v>0.506096468660341</v>
      </c>
      <c r="J20" s="1247" t="s">
        <v>1013</v>
      </c>
    </row>
    <row r="21" spans="1:10" s="1235" customFormat="1" ht="12.75">
      <c r="A21" s="1246" t="s">
        <v>1014</v>
      </c>
      <c r="B21" s="1247">
        <v>1</v>
      </c>
      <c r="C21" s="1247"/>
      <c r="D21" s="1247">
        <v>0.5</v>
      </c>
      <c r="E21" s="1248">
        <v>0.9348725690832724</v>
      </c>
      <c r="F21" s="1248">
        <v>0.46780944637924105</v>
      </c>
      <c r="G21" s="1248">
        <v>0.722573761720521</v>
      </c>
      <c r="H21" s="1248">
        <v>0.8831891988868624</v>
      </c>
      <c r="I21" s="1248">
        <v>0.7099259759234181</v>
      </c>
      <c r="J21" s="1247" t="s">
        <v>1015</v>
      </c>
    </row>
    <row r="22" spans="1:10" s="1235" customFormat="1" ht="12.75">
      <c r="A22" s="1246" t="s">
        <v>1016</v>
      </c>
      <c r="B22" s="1247">
        <v>1.5</v>
      </c>
      <c r="C22" s="1247"/>
      <c r="D22" s="1247">
        <v>0.5</v>
      </c>
      <c r="E22" s="1248">
        <v>0.8410951293812079</v>
      </c>
      <c r="F22" s="1248">
        <v>0.34837691854655967</v>
      </c>
      <c r="G22" s="1248">
        <v>0.8558952726439722</v>
      </c>
      <c r="H22" s="1248">
        <v>0.5100009234832948</v>
      </c>
      <c r="I22" s="1248">
        <v>0.23472877055260027</v>
      </c>
      <c r="J22" s="1247" t="s">
        <v>1017</v>
      </c>
    </row>
    <row r="23" spans="1:10" s="1235" customFormat="1" ht="12.75">
      <c r="A23" s="1246" t="s">
        <v>1018</v>
      </c>
      <c r="B23" s="1247">
        <v>1.5</v>
      </c>
      <c r="C23" s="1247"/>
      <c r="D23" s="1247">
        <v>0.5</v>
      </c>
      <c r="E23" s="1248">
        <v>0.4672628431849288</v>
      </c>
      <c r="F23" s="1248">
        <v>0.4382035386947788</v>
      </c>
      <c r="G23" s="1248">
        <v>0.5798302450203946</v>
      </c>
      <c r="H23" s="1248">
        <v>0.8263816017571014</v>
      </c>
      <c r="I23" s="1248">
        <v>0.20600162015474802</v>
      </c>
      <c r="J23" s="1247" t="s">
        <v>1019</v>
      </c>
    </row>
    <row r="24" spans="1:10" s="1235" customFormat="1" ht="12.75">
      <c r="A24" s="1246" t="s">
        <v>1020</v>
      </c>
      <c r="B24" s="1247">
        <v>0.5</v>
      </c>
      <c r="C24" s="1247"/>
      <c r="D24" s="1247">
        <v>0.5</v>
      </c>
      <c r="E24" s="1248">
        <v>0.2267342459636779</v>
      </c>
      <c r="F24" s="1248">
        <v>0.2135688639868094</v>
      </c>
      <c r="G24" s="1248">
        <v>0.6724646216951694</v>
      </c>
      <c r="H24" s="1248">
        <v>0.5384986608648424</v>
      </c>
      <c r="I24" s="1248">
        <v>0.2871591539649923</v>
      </c>
      <c r="J24" s="1247" t="s">
        <v>1021</v>
      </c>
    </row>
    <row r="25" spans="1:10" s="1235" customFormat="1" ht="12.75">
      <c r="A25" s="1246"/>
      <c r="B25" s="1249"/>
      <c r="C25" s="1249"/>
      <c r="D25" s="1249"/>
      <c r="E25" s="1248"/>
      <c r="F25" s="1248"/>
      <c r="G25" s="1248"/>
      <c r="H25" s="1248"/>
      <c r="I25" s="1248"/>
      <c r="J25" s="1247"/>
    </row>
    <row r="26" spans="1:10" s="1235" customFormat="1" ht="12.75">
      <c r="A26" s="1250" t="s">
        <v>1022</v>
      </c>
      <c r="B26" s="1251"/>
      <c r="C26" s="1251"/>
      <c r="D26" s="1251"/>
      <c r="E26" s="1252">
        <v>0.5336689555521408</v>
      </c>
      <c r="F26" s="1252">
        <v>0.2972236667133709</v>
      </c>
      <c r="G26" s="1252">
        <v>0.6814686839463594</v>
      </c>
      <c r="H26" s="1252">
        <v>0.4462547620131758</v>
      </c>
      <c r="I26" s="1252">
        <v>0.6531246811636687</v>
      </c>
      <c r="J26" s="1253" t="s">
        <v>1023</v>
      </c>
    </row>
    <row r="27" spans="1:10" s="1235" customFormat="1" ht="12.75">
      <c r="A27" s="1250" t="s">
        <v>1024</v>
      </c>
      <c r="B27" s="1251"/>
      <c r="C27" s="1251"/>
      <c r="D27" s="1251"/>
      <c r="E27" s="1252">
        <v>0.5241985244447627</v>
      </c>
      <c r="F27" s="1252">
        <v>0.2733147975587594</v>
      </c>
      <c r="G27" s="1252">
        <v>0.650061292981171</v>
      </c>
      <c r="H27" s="1252">
        <v>0.4097477618112507</v>
      </c>
      <c r="I27" s="1252">
        <v>0.694524968299255</v>
      </c>
      <c r="J27" s="1253" t="s">
        <v>1025</v>
      </c>
    </row>
    <row r="28" spans="1:10" s="1235" customFormat="1" ht="12.75">
      <c r="A28" s="1250" t="s">
        <v>1026</v>
      </c>
      <c r="B28" s="1251"/>
      <c r="C28" s="1251"/>
      <c r="D28" s="1251"/>
      <c r="E28" s="1252">
        <v>0.6296940987838777</v>
      </c>
      <c r="F28" s="1252">
        <v>0.3755982607235283</v>
      </c>
      <c r="G28" s="1252">
        <v>0.7666308708525877</v>
      </c>
      <c r="H28" s="1252">
        <v>0.6359786763489768</v>
      </c>
      <c r="I28" s="1252">
        <v>0.9985700110197306</v>
      </c>
      <c r="J28" s="1253" t="s">
        <v>1027</v>
      </c>
    </row>
    <row r="29" spans="1:10" s="1235" customFormat="1" ht="12.75">
      <c r="A29" s="1250" t="s">
        <v>1028</v>
      </c>
      <c r="B29" s="1251"/>
      <c r="C29" s="1251"/>
      <c r="D29" s="1251"/>
      <c r="E29" s="1252">
        <v>0.27252435053668006</v>
      </c>
      <c r="F29" s="1252">
        <v>0.21201816089285475</v>
      </c>
      <c r="G29" s="1252">
        <v>0.6412558921959539</v>
      </c>
      <c r="H29" s="1252">
        <v>0.32382798910696275</v>
      </c>
      <c r="I29" s="1252">
        <v>0.5831971471930405</v>
      </c>
      <c r="J29" s="1253" t="s">
        <v>1029</v>
      </c>
    </row>
    <row r="30" spans="1:10" s="1235" customFormat="1" ht="12.75">
      <c r="A30" s="1250"/>
      <c r="B30" s="1251"/>
      <c r="C30" s="1251"/>
      <c r="D30" s="1251"/>
      <c r="E30" s="1252"/>
      <c r="F30" s="1252"/>
      <c r="G30" s="1252"/>
      <c r="H30" s="1252"/>
      <c r="I30" s="1252"/>
      <c r="J30" s="1253"/>
    </row>
    <row r="31" spans="1:10" s="1235" customFormat="1" ht="12.75">
      <c r="A31" s="1254" t="s">
        <v>1030</v>
      </c>
      <c r="B31" s="1255"/>
      <c r="C31" s="1255"/>
      <c r="D31" s="1255"/>
      <c r="E31" s="1256">
        <v>1.4154147888039992</v>
      </c>
      <c r="F31" s="1256">
        <v>0.8268070270243805</v>
      </c>
      <c r="G31" s="1256">
        <v>1.0753629624396277</v>
      </c>
      <c r="H31" s="1256">
        <v>1.1349968805073158</v>
      </c>
      <c r="I31" s="1256">
        <v>1.535831018044903</v>
      </c>
      <c r="J31" s="1257" t="s">
        <v>1031</v>
      </c>
    </row>
    <row r="32" spans="1:10" s="1235" customFormat="1" ht="12.75">
      <c r="A32" s="1254" t="s">
        <v>1032</v>
      </c>
      <c r="B32" s="1255"/>
      <c r="C32" s="1255"/>
      <c r="D32" s="1255"/>
      <c r="E32" s="1256">
        <v>2.124482071000657</v>
      </c>
      <c r="F32" s="1256">
        <v>2.06770987504908</v>
      </c>
      <c r="G32" s="1256">
        <v>1.673712734156653</v>
      </c>
      <c r="H32" s="1256">
        <v>1.1294211664981808</v>
      </c>
      <c r="I32" s="1256">
        <v>3.349240293116617</v>
      </c>
      <c r="J32" s="1257" t="s">
        <v>1033</v>
      </c>
    </row>
    <row r="33" spans="1:10" s="1235" customFormat="1" ht="12.75">
      <c r="A33" s="1254"/>
      <c r="B33" s="1255"/>
      <c r="C33" s="1255"/>
      <c r="D33" s="1255"/>
      <c r="E33" s="1256"/>
      <c r="F33" s="1256"/>
      <c r="G33" s="1256"/>
      <c r="H33" s="1256"/>
      <c r="I33" s="1256"/>
      <c r="J33" s="1257"/>
    </row>
    <row r="34" spans="1:10" s="1235" customFormat="1" ht="12.75">
      <c r="A34" s="1242" t="s">
        <v>1034</v>
      </c>
      <c r="B34" s="1243"/>
      <c r="C34" s="1243"/>
      <c r="D34" s="1243"/>
      <c r="E34" s="1244">
        <v>1.0087970826773547</v>
      </c>
      <c r="F34" s="1244">
        <v>0.8597369117484274</v>
      </c>
      <c r="G34" s="1244">
        <v>1.1548016767490532</v>
      </c>
      <c r="H34" s="1244">
        <v>0.8456755048050559</v>
      </c>
      <c r="I34" s="1244">
        <v>1.6354538254462399</v>
      </c>
      <c r="J34" s="1245" t="s">
        <v>1035</v>
      </c>
    </row>
    <row r="35" spans="1:10" s="1235" customFormat="1" ht="12.75">
      <c r="A35" s="1242" t="s">
        <v>1036</v>
      </c>
      <c r="B35" s="1243"/>
      <c r="C35" s="1243"/>
      <c r="D35" s="1243"/>
      <c r="E35" s="1244">
        <v>1.3645630362751462</v>
      </c>
      <c r="F35" s="1244">
        <v>1.4856941518060607</v>
      </c>
      <c r="G35" s="1244">
        <v>1.3360258419554005</v>
      </c>
      <c r="H35" s="1244">
        <v>1.4503613955534336</v>
      </c>
      <c r="I35" s="1244">
        <v>2.023122429562439</v>
      </c>
      <c r="J35" s="1245" t="s">
        <v>1037</v>
      </c>
    </row>
    <row r="36" spans="1:10" s="1235" customFormat="1" ht="12.75">
      <c r="A36" s="1242" t="s">
        <v>1038</v>
      </c>
      <c r="B36" s="1243"/>
      <c r="C36" s="1243"/>
      <c r="D36" s="1243"/>
      <c r="E36" s="1244">
        <v>1.9307886684189197</v>
      </c>
      <c r="F36" s="1244">
        <v>1.8096850452847835</v>
      </c>
      <c r="G36" s="1244">
        <v>3.0597571021830277</v>
      </c>
      <c r="H36" s="1244">
        <v>1.3517195621732292</v>
      </c>
      <c r="I36" s="1244">
        <v>4.794798605753437</v>
      </c>
      <c r="J36" s="1245" t="s">
        <v>1033</v>
      </c>
    </row>
    <row r="37" spans="1:10" s="1235" customFormat="1" ht="12.75">
      <c r="A37" s="1242"/>
      <c r="B37" s="1243"/>
      <c r="C37" s="1243"/>
      <c r="D37" s="1243"/>
      <c r="E37" s="1244"/>
      <c r="F37" s="1244"/>
      <c r="G37" s="1244"/>
      <c r="H37" s="1244"/>
      <c r="I37" s="1244"/>
      <c r="J37" s="1245"/>
    </row>
    <row r="38" spans="1:10" s="1235" customFormat="1" ht="12.75">
      <c r="A38" s="1258" t="s">
        <v>1039</v>
      </c>
      <c r="B38" s="1259"/>
      <c r="C38" s="1259"/>
      <c r="D38" s="1259"/>
      <c r="E38" s="1260">
        <v>0.6166655260963374</v>
      </c>
      <c r="F38" s="1260">
        <v>0.35241567220720926</v>
      </c>
      <c r="G38" s="1260">
        <v>1.5966583322718566</v>
      </c>
      <c r="H38" s="1260">
        <v>1.11157818625367</v>
      </c>
      <c r="I38" s="1260">
        <v>1.8918613744382968</v>
      </c>
      <c r="J38" s="1261"/>
    </row>
    <row r="39" spans="1:10" s="1235" customFormat="1" ht="12.75">
      <c r="A39" s="1258" t="s">
        <v>1040</v>
      </c>
      <c r="B39" s="1259"/>
      <c r="C39" s="1259"/>
      <c r="D39" s="1259"/>
      <c r="E39" s="1260">
        <v>1.4130911600632043</v>
      </c>
      <c r="F39" s="1260">
        <v>1.1936830067137447</v>
      </c>
      <c r="G39" s="1260">
        <v>2.457157507893229</v>
      </c>
      <c r="H39" s="1260">
        <v>1.6738569931875487</v>
      </c>
      <c r="I39" s="1260">
        <v>2.5195547293339264</v>
      </c>
      <c r="J39" s="1261"/>
    </row>
    <row r="40" spans="1:10" s="1235" customFormat="1" ht="12.75">
      <c r="A40" s="1258"/>
      <c r="B40" s="1259"/>
      <c r="C40" s="1259"/>
      <c r="D40" s="1259"/>
      <c r="E40" s="1260"/>
      <c r="F40" s="1260"/>
      <c r="G40" s="1260"/>
      <c r="H40" s="1260"/>
      <c r="I40" s="1260"/>
      <c r="J40" s="1261"/>
    </row>
    <row r="41" spans="1:10" s="1235" customFormat="1" ht="12.75">
      <c r="A41" s="1262" t="s">
        <v>1041</v>
      </c>
      <c r="B41" s="1263"/>
      <c r="C41" s="1264">
        <v>4</v>
      </c>
      <c r="D41" s="1263"/>
      <c r="E41" s="1265">
        <v>0.9924340542980494</v>
      </c>
      <c r="F41" s="1265">
        <v>0.1794231966770254</v>
      </c>
      <c r="G41" s="1265">
        <v>0.7219508782770724</v>
      </c>
      <c r="H41" s="1265">
        <v>0.49880536237191064</v>
      </c>
      <c r="I41" s="1265">
        <v>0.4066227918825719</v>
      </c>
      <c r="J41" s="1264" t="s">
        <v>1001</v>
      </c>
    </row>
    <row r="42" spans="1:10" s="1235" customFormat="1" ht="12.75">
      <c r="A42" s="1262" t="s">
        <v>1042</v>
      </c>
      <c r="B42" s="1263"/>
      <c r="C42" s="1264">
        <v>2</v>
      </c>
      <c r="D42" s="1263"/>
      <c r="E42" s="1265">
        <v>1.3077918458905917</v>
      </c>
      <c r="F42" s="1265">
        <v>0.12865567591468138</v>
      </c>
      <c r="G42" s="1265">
        <v>0.2457672722482863</v>
      </c>
      <c r="H42" s="1265">
        <v>0.37250136733405154</v>
      </c>
      <c r="I42" s="1265">
        <v>0.23550391852608257</v>
      </c>
      <c r="J42" s="1264" t="s">
        <v>1003</v>
      </c>
    </row>
    <row r="43" spans="1:10" s="1235" customFormat="1" ht="12.75">
      <c r="A43" s="1262"/>
      <c r="B43" s="1263"/>
      <c r="C43" s="1264"/>
      <c r="D43" s="1263"/>
      <c r="E43" s="1264"/>
      <c r="F43" s="1264"/>
      <c r="G43" s="1264"/>
      <c r="H43" s="1264"/>
      <c r="I43" s="1264"/>
      <c r="J43" s="1264"/>
    </row>
    <row r="44" spans="1:10" s="1235" customFormat="1" ht="12.75">
      <c r="A44" s="1266" t="s">
        <v>1043</v>
      </c>
      <c r="B44" s="1267"/>
      <c r="C44" s="1268">
        <v>3.5</v>
      </c>
      <c r="D44" s="1267"/>
      <c r="E44" s="1269">
        <v>1.0253968253968253</v>
      </c>
      <c r="F44" s="1268"/>
      <c r="G44" s="1268"/>
      <c r="H44" s="1268"/>
      <c r="I44" s="1268"/>
      <c r="J44" s="1268" t="s">
        <v>1001</v>
      </c>
    </row>
    <row r="45" spans="1:10" s="1235" customFormat="1" ht="12.75">
      <c r="A45" s="1266" t="s">
        <v>1044</v>
      </c>
      <c r="B45" s="1267"/>
      <c r="C45" s="1268">
        <v>3.5</v>
      </c>
      <c r="D45" s="1267"/>
      <c r="E45" s="1269">
        <v>0.5206349206349207</v>
      </c>
      <c r="F45" s="1268"/>
      <c r="G45" s="1268"/>
      <c r="H45" s="1268"/>
      <c r="I45" s="1268"/>
      <c r="J45" s="1268" t="s">
        <v>1003</v>
      </c>
    </row>
    <row r="46" spans="1:10" s="1235" customFormat="1" ht="12.75">
      <c r="A46" s="1270"/>
      <c r="B46" s="1267"/>
      <c r="C46" s="1267"/>
      <c r="D46" s="1267"/>
      <c r="E46" s="1268"/>
      <c r="F46" s="1268"/>
      <c r="G46" s="1268"/>
      <c r="H46" s="1268"/>
      <c r="I46" s="1268"/>
      <c r="J46" s="1268"/>
    </row>
    <row r="47" spans="1:10" s="1235" customFormat="1" ht="12.75">
      <c r="A47" s="1271" t="s">
        <v>391</v>
      </c>
      <c r="B47" s="1272"/>
      <c r="C47" s="1272"/>
      <c r="D47" s="1272"/>
      <c r="E47" s="1273">
        <v>3.777985300695104</v>
      </c>
      <c r="F47" s="1273">
        <v>1.0862056229455055</v>
      </c>
      <c r="G47" s="1273">
        <v>3.590605920808378</v>
      </c>
      <c r="H47" s="1273">
        <v>1.038510164338356</v>
      </c>
      <c r="I47" s="1273">
        <v>3.9013710106360597</v>
      </c>
      <c r="J47" s="1274"/>
    </row>
    <row r="48" spans="1:10" s="1235" customFormat="1" ht="12.75">
      <c r="A48" s="1271" t="s">
        <v>392</v>
      </c>
      <c r="B48" s="1272"/>
      <c r="C48" s="1272"/>
      <c r="D48" s="1272"/>
      <c r="E48" s="1273">
        <v>1.8458253176262038</v>
      </c>
      <c r="F48" s="1273">
        <v>0.1187617367528265</v>
      </c>
      <c r="G48" s="1273">
        <v>1.2704148616431947</v>
      </c>
      <c r="H48" s="1273">
        <v>0.08668812580876145</v>
      </c>
      <c r="I48" s="1273">
        <v>1.4420841661498212</v>
      </c>
      <c r="J48" s="1274"/>
    </row>
    <row r="49" spans="1:10" s="1235" customFormat="1" ht="12.75">
      <c r="A49" s="1271"/>
      <c r="B49" s="1272"/>
      <c r="C49" s="1272"/>
      <c r="D49" s="1272"/>
      <c r="E49" s="1272"/>
      <c r="F49" s="1272"/>
      <c r="G49" s="1272"/>
      <c r="H49" s="1272"/>
      <c r="I49" s="1272"/>
      <c r="J49" s="1272"/>
    </row>
    <row r="50" spans="1:10" s="1235" customFormat="1" ht="12.75">
      <c r="A50" s="1275"/>
      <c r="B50" s="1272"/>
      <c r="C50" s="1272"/>
      <c r="D50" s="1272"/>
      <c r="E50" s="1272"/>
      <c r="F50" s="1272"/>
      <c r="G50" s="1272"/>
      <c r="H50" s="1272"/>
      <c r="I50" s="1272"/>
      <c r="J50" s="1272"/>
    </row>
    <row r="51" spans="1:11" s="1278" customFormat="1" ht="12.75">
      <c r="A51" s="1276" t="s">
        <v>1045</v>
      </c>
      <c r="B51" s="1277"/>
      <c r="F51" s="1279"/>
      <c r="G51" s="1279"/>
      <c r="I51" s="1279"/>
      <c r="K51" s="1280"/>
    </row>
    <row r="52" spans="1:11" s="1278" customFormat="1" ht="12.75">
      <c r="A52" s="1276" t="s">
        <v>1046</v>
      </c>
      <c r="B52" s="1277"/>
      <c r="F52" s="1279"/>
      <c r="G52" s="1279"/>
      <c r="I52" s="1279"/>
      <c r="K52" s="1280"/>
    </row>
    <row r="53" spans="1:11" s="1278" customFormat="1" ht="12.75">
      <c r="A53" s="1276" t="s">
        <v>1047</v>
      </c>
      <c r="B53" s="1277"/>
      <c r="F53" s="1279"/>
      <c r="G53" s="1279"/>
      <c r="I53" s="1279"/>
      <c r="K53" s="1280"/>
    </row>
    <row r="54" spans="1:11" s="1278" customFormat="1" ht="12.75">
      <c r="A54" s="1276" t="s">
        <v>1048</v>
      </c>
      <c r="B54" s="1277"/>
      <c r="F54" s="1279"/>
      <c r="G54" s="1279"/>
      <c r="I54" s="1279"/>
      <c r="K54" s="1280"/>
    </row>
    <row r="55" spans="1:11" s="1278" customFormat="1" ht="12.75">
      <c r="A55" s="1276" t="s">
        <v>1049</v>
      </c>
      <c r="B55" s="1277"/>
      <c r="F55" s="1279"/>
      <c r="G55" s="1279"/>
      <c r="I55" s="1279"/>
      <c r="K55" s="1280"/>
    </row>
    <row r="56" spans="1:11" s="1281" customFormat="1" ht="12.75">
      <c r="A56" s="1276" t="s">
        <v>1050</v>
      </c>
      <c r="B56" s="1277"/>
      <c r="F56" s="1282"/>
      <c r="G56" s="1282"/>
      <c r="I56" s="1282"/>
      <c r="K56" s="1280"/>
    </row>
    <row r="57" spans="1:11" s="1281" customFormat="1" ht="12.75">
      <c r="A57" s="1276" t="s">
        <v>1051</v>
      </c>
      <c r="B57" s="1277"/>
      <c r="F57" s="1282"/>
      <c r="G57" s="1282"/>
      <c r="I57" s="1282"/>
      <c r="K57" s="1280"/>
    </row>
    <row r="58" spans="1:11" s="1281" customFormat="1" ht="12.75">
      <c r="A58" s="1276" t="s">
        <v>1052</v>
      </c>
      <c r="B58" s="1277"/>
      <c r="F58" s="1282"/>
      <c r="G58" s="1282"/>
      <c r="I58" s="1282"/>
      <c r="K58" s="1280"/>
    </row>
  </sheetData>
  <sheetProtection password="BF82" sheet="1" objects="1" scenarios="1" selectLockedCells="1" selectUnlockedCells="1"/>
  <mergeCells count="5">
    <mergeCell ref="A4:H4"/>
    <mergeCell ref="A5:H5"/>
    <mergeCell ref="A6:H6"/>
    <mergeCell ref="A7:H7"/>
    <mergeCell ref="A8:D8"/>
  </mergeCells>
  <printOptions/>
  <pageMargins left="0.39375" right="0.39375" top="0.39375" bottom="0.39375" header="0.5118055555555555" footer="0.39375"/>
  <pageSetup fitToHeight="1" fitToWidth="1" horizontalDpi="300" verticalDpi="300" orientation="portrait" paperSize="9"/>
  <headerFooter alignWithMargins="0">
    <oddFooter>&amp;C&amp;8&amp;F - Feuille &amp;A - page &amp;P / &amp;N</oddFoot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A1:C43"/>
  <sheetViews>
    <sheetView zoomScalePageLayoutView="0" workbookViewId="0" topLeftCell="A1">
      <selection activeCell="C28" sqref="C28"/>
    </sheetView>
  </sheetViews>
  <sheetFormatPr defaultColWidth="11.421875" defaultRowHeight="15" customHeight="1"/>
  <cols>
    <col min="1" max="1" width="6.7109375" style="1283" customWidth="1"/>
    <col min="2" max="2" width="17.00390625" style="1284" customWidth="1"/>
    <col min="3" max="3" width="73.28125" style="1285" customWidth="1"/>
    <col min="4" max="4" width="7.7109375" style="1286" customWidth="1"/>
    <col min="5" max="16384" width="11.421875" style="1286" customWidth="1"/>
  </cols>
  <sheetData>
    <row r="1" spans="1:3" s="4" customFormat="1" ht="30" customHeight="1">
      <c r="A1" s="5"/>
      <c r="B1" s="41"/>
      <c r="C1" s="41"/>
    </row>
    <row r="2" spans="1:3" s="11" customFormat="1" ht="49.5" customHeight="1">
      <c r="A2" s="8" t="s">
        <v>1053</v>
      </c>
      <c r="B2" s="1287"/>
      <c r="C2" s="1288"/>
    </row>
    <row r="3" spans="1:3" s="11" customFormat="1" ht="12.75" customHeight="1">
      <c r="A3" s="12"/>
      <c r="B3" s="656"/>
      <c r="C3" s="43" t="s">
        <v>1</v>
      </c>
    </row>
    <row r="4" spans="1:3" s="15" customFormat="1" ht="19.5" customHeight="1">
      <c r="A4" s="67"/>
      <c r="B4" s="660"/>
      <c r="C4" s="44">
        <f>DATEVER</f>
        <v>43515</v>
      </c>
    </row>
    <row r="5" spans="1:2" s="48" customFormat="1" ht="12.75" customHeight="1">
      <c r="A5" s="76" t="s">
        <v>1054</v>
      </c>
      <c r="B5" s="598"/>
    </row>
    <row r="6" spans="1:3" s="48" customFormat="1" ht="33.75" customHeight="1">
      <c r="A6" s="1366" t="s">
        <v>1055</v>
      </c>
      <c r="B6" s="1366"/>
      <c r="C6" s="1366"/>
    </row>
    <row r="7" spans="1:3" s="1291" customFormat="1" ht="12.75" customHeight="1">
      <c r="A7" s="1289"/>
      <c r="B7" s="1290"/>
      <c r="C7" s="1290"/>
    </row>
    <row r="8" spans="1:3" s="1293" customFormat="1" ht="12.75" customHeight="1">
      <c r="A8" s="1292" t="s">
        <v>1056</v>
      </c>
      <c r="B8" s="1292" t="s">
        <v>1057</v>
      </c>
      <c r="C8" s="337" t="s">
        <v>1058</v>
      </c>
    </row>
    <row r="9" spans="1:3" s="1297" customFormat="1" ht="12.75" customHeight="1">
      <c r="A9" s="1294"/>
      <c r="B9" s="1295" t="s">
        <v>1059</v>
      </c>
      <c r="C9" s="1296"/>
    </row>
    <row r="10" spans="1:3" s="1300" customFormat="1" ht="24" customHeight="1">
      <c r="A10" s="1298" t="s">
        <v>990</v>
      </c>
      <c r="B10" s="124" t="s">
        <v>963</v>
      </c>
      <c r="C10" s="1299" t="s">
        <v>1060</v>
      </c>
    </row>
    <row r="11" spans="1:3" s="1300" customFormat="1" ht="36" customHeight="1">
      <c r="A11" s="65" t="s">
        <v>991</v>
      </c>
      <c r="B11" s="155" t="s">
        <v>615</v>
      </c>
      <c r="C11" s="1301" t="s">
        <v>1061</v>
      </c>
    </row>
    <row r="12" spans="1:3" s="1300" customFormat="1" ht="48" customHeight="1">
      <c r="A12" s="65" t="s">
        <v>992</v>
      </c>
      <c r="B12" s="155" t="s">
        <v>428</v>
      </c>
      <c r="C12" s="1301" t="s">
        <v>1062</v>
      </c>
    </row>
    <row r="13" spans="1:3" s="1300" customFormat="1" ht="12" customHeight="1">
      <c r="A13" s="65" t="s">
        <v>1063</v>
      </c>
      <c r="B13" s="155" t="s">
        <v>1064</v>
      </c>
      <c r="C13" s="1301" t="s">
        <v>1065</v>
      </c>
    </row>
    <row r="14" spans="1:3" s="1297" customFormat="1" ht="12.75" customHeight="1">
      <c r="A14" s="1294"/>
      <c r="B14" s="1295" t="s">
        <v>1066</v>
      </c>
      <c r="C14" s="1296"/>
    </row>
    <row r="15" spans="1:3" s="1300" customFormat="1" ht="12" customHeight="1">
      <c r="A15" s="1298" t="s">
        <v>993</v>
      </c>
      <c r="B15" s="124" t="s">
        <v>619</v>
      </c>
      <c r="C15" s="1299" t="s">
        <v>1067</v>
      </c>
    </row>
    <row r="16" spans="1:3" s="1300" customFormat="1" ht="24" customHeight="1">
      <c r="A16" s="65" t="s">
        <v>994</v>
      </c>
      <c r="B16" s="155" t="s">
        <v>1068</v>
      </c>
      <c r="C16" s="1301" t="s">
        <v>1069</v>
      </c>
    </row>
    <row r="17" spans="1:3" s="1300" customFormat="1" ht="12" customHeight="1">
      <c r="A17" s="339" t="s">
        <v>995</v>
      </c>
      <c r="B17" s="1302" t="s">
        <v>438</v>
      </c>
      <c r="C17" s="390"/>
    </row>
    <row r="18" spans="1:3" s="1300" customFormat="1" ht="24" customHeight="1">
      <c r="A18" s="41" t="s">
        <v>1070</v>
      </c>
      <c r="B18" s="67" t="s">
        <v>292</v>
      </c>
      <c r="C18" s="390" t="s">
        <v>294</v>
      </c>
    </row>
    <row r="19" spans="1:3" s="1300" customFormat="1" ht="24" customHeight="1">
      <c r="A19" s="41" t="s">
        <v>1071</v>
      </c>
      <c r="B19" s="67" t="s">
        <v>690</v>
      </c>
      <c r="C19" s="390" t="s">
        <v>1072</v>
      </c>
    </row>
    <row r="20" spans="1:3" s="1300" customFormat="1" ht="24" customHeight="1">
      <c r="A20" s="41" t="s">
        <v>1073</v>
      </c>
      <c r="B20" s="67" t="s">
        <v>300</v>
      </c>
      <c r="C20" s="390" t="s">
        <v>302</v>
      </c>
    </row>
    <row r="21" spans="1:3" s="1300" customFormat="1" ht="24" customHeight="1">
      <c r="A21" s="41" t="s">
        <v>1074</v>
      </c>
      <c r="B21" s="67" t="s">
        <v>304</v>
      </c>
      <c r="C21" s="390" t="s">
        <v>306</v>
      </c>
    </row>
    <row r="22" spans="1:3" s="1297" customFormat="1" ht="12.75" customHeight="1">
      <c r="A22" s="1294"/>
      <c r="B22" s="1295" t="s">
        <v>440</v>
      </c>
      <c r="C22" s="1296"/>
    </row>
    <row r="23" spans="1:3" s="1300" customFormat="1" ht="12" customHeight="1">
      <c r="A23" s="1298"/>
      <c r="B23" s="124" t="s">
        <v>441</v>
      </c>
      <c r="C23" s="1299" t="s">
        <v>1075</v>
      </c>
    </row>
    <row r="24" spans="1:3" s="1300" customFormat="1" ht="24" customHeight="1">
      <c r="A24" s="65"/>
      <c r="B24" s="155" t="s">
        <v>1076</v>
      </c>
      <c r="C24" s="1301" t="s">
        <v>1075</v>
      </c>
    </row>
    <row r="25" spans="1:3" s="1297" customFormat="1" ht="12.75" customHeight="1">
      <c r="A25" s="1294"/>
      <c r="B25" s="1295" t="s">
        <v>442</v>
      </c>
      <c r="C25" s="1296"/>
    </row>
    <row r="26" spans="1:3" s="1300" customFormat="1" ht="24" customHeight="1">
      <c r="A26" s="1298" t="s">
        <v>1077</v>
      </c>
      <c r="B26" s="124" t="s">
        <v>1078</v>
      </c>
      <c r="C26" s="1299" t="s">
        <v>1079</v>
      </c>
    </row>
    <row r="27" spans="1:3" s="1300" customFormat="1" ht="24" customHeight="1">
      <c r="A27" s="65" t="s">
        <v>324</v>
      </c>
      <c r="B27" s="155" t="s">
        <v>785</v>
      </c>
      <c r="C27" s="1301" t="s">
        <v>325</v>
      </c>
    </row>
    <row r="28" spans="1:3" s="1300" customFormat="1" ht="41.25" customHeight="1">
      <c r="A28" s="65" t="s">
        <v>1080</v>
      </c>
      <c r="B28" s="155" t="s">
        <v>1081</v>
      </c>
      <c r="C28" s="1301" t="s">
        <v>1082</v>
      </c>
    </row>
    <row r="29" spans="1:3" s="1297" customFormat="1" ht="12.75" customHeight="1">
      <c r="A29" s="1303"/>
      <c r="B29" s="1304" t="s">
        <v>1083</v>
      </c>
      <c r="C29" s="1305"/>
    </row>
    <row r="30" spans="1:3" s="1300" customFormat="1" ht="12" customHeight="1">
      <c r="A30" s="1298" t="s">
        <v>1084</v>
      </c>
      <c r="B30" s="124" t="s">
        <v>1085</v>
      </c>
      <c r="C30" s="1299" t="s">
        <v>1086</v>
      </c>
    </row>
    <row r="31" spans="1:3" s="1300" customFormat="1" ht="24" customHeight="1">
      <c r="A31" s="65" t="s">
        <v>1087</v>
      </c>
      <c r="B31" s="155" t="s">
        <v>1088</v>
      </c>
      <c r="C31" s="1301" t="s">
        <v>1089</v>
      </c>
    </row>
    <row r="32" spans="1:3" s="1300" customFormat="1" ht="24" customHeight="1">
      <c r="A32" s="65" t="s">
        <v>193</v>
      </c>
      <c r="B32" s="155" t="s">
        <v>1090</v>
      </c>
      <c r="C32" s="1301" t="s">
        <v>1091</v>
      </c>
    </row>
    <row r="33" spans="1:3" s="1300" customFormat="1" ht="12" customHeight="1">
      <c r="A33" s="65" t="s">
        <v>1092</v>
      </c>
      <c r="B33" s="155" t="s">
        <v>694</v>
      </c>
      <c r="C33" s="1301" t="s">
        <v>1093</v>
      </c>
    </row>
    <row r="34" spans="1:3" s="1300" customFormat="1" ht="24" customHeight="1">
      <c r="A34" s="65" t="s">
        <v>1094</v>
      </c>
      <c r="B34" s="155" t="s">
        <v>1095</v>
      </c>
      <c r="C34" s="1301" t="s">
        <v>1096</v>
      </c>
    </row>
    <row r="35" spans="1:3" s="1300" customFormat="1" ht="12" customHeight="1">
      <c r="A35" s="65" t="s">
        <v>207</v>
      </c>
      <c r="B35" s="155" t="s">
        <v>1097</v>
      </c>
      <c r="C35" s="1301" t="s">
        <v>1098</v>
      </c>
    </row>
    <row r="36" ht="35.25" customHeight="1">
      <c r="C36" s="1306"/>
    </row>
    <row r="37" spans="1:3" s="1310" customFormat="1" ht="23.25" customHeight="1">
      <c r="A37" s="1307" t="s">
        <v>1099</v>
      </c>
      <c r="B37" s="1308"/>
      <c r="C37" s="1309"/>
    </row>
    <row r="38" spans="1:3" s="1312" customFormat="1" ht="24" customHeight="1">
      <c r="A38" s="1418" t="s">
        <v>1100</v>
      </c>
      <c r="B38" s="1418"/>
      <c r="C38" s="1311" t="s">
        <v>1101</v>
      </c>
    </row>
    <row r="39" spans="1:3" s="1312" customFormat="1" ht="21.75" customHeight="1">
      <c r="A39" s="1418" t="s">
        <v>1102</v>
      </c>
      <c r="B39" s="1418"/>
      <c r="C39" s="1311" t="s">
        <v>1103</v>
      </c>
    </row>
    <row r="40" spans="1:3" s="1312" customFormat="1" ht="23.25" customHeight="1">
      <c r="A40" s="1418" t="s">
        <v>619</v>
      </c>
      <c r="B40" s="1418"/>
      <c r="C40" s="1311" t="s">
        <v>1104</v>
      </c>
    </row>
    <row r="41" spans="1:3" s="1312" customFormat="1" ht="24" customHeight="1">
      <c r="A41" s="1418" t="s">
        <v>618</v>
      </c>
      <c r="B41" s="1418"/>
      <c r="C41" s="1311" t="s">
        <v>1105</v>
      </c>
    </row>
    <row r="42" spans="1:3" s="1312" customFormat="1" ht="19.5" customHeight="1">
      <c r="A42" s="1418" t="s">
        <v>617</v>
      </c>
      <c r="B42" s="1418"/>
      <c r="C42" s="1311" t="s">
        <v>1106</v>
      </c>
    </row>
    <row r="43" spans="1:3" s="1312" customFormat="1" ht="23.25" customHeight="1">
      <c r="A43" s="1418" t="s">
        <v>616</v>
      </c>
      <c r="B43" s="1418"/>
      <c r="C43" s="1311" t="s">
        <v>1107</v>
      </c>
    </row>
  </sheetData>
  <sheetProtection password="BF82" sheet="1" selectLockedCells="1" selectUnlockedCells="1"/>
  <mergeCells count="7">
    <mergeCell ref="A43:B43"/>
    <mergeCell ref="A6:C6"/>
    <mergeCell ref="A38:B38"/>
    <mergeCell ref="A39:B39"/>
    <mergeCell ref="A40:B40"/>
    <mergeCell ref="A41:B41"/>
    <mergeCell ref="A42:B42"/>
  </mergeCells>
  <printOptions/>
  <pageMargins left="0.39375" right="0.39375" top="0.39375" bottom="0.7875" header="0.5118055555555555" footer="0.39375"/>
  <pageSetup fitToHeight="2" fitToWidth="1" horizontalDpi="300" verticalDpi="300" orientation="portrait" paperSize="9"/>
  <headerFooter alignWithMargins="0">
    <oddFooter>&amp;C&amp;8&amp;F - Feuille &amp;A - page &amp;P / &amp;N</oddFoot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A1:B44"/>
  <sheetViews>
    <sheetView zoomScalePageLayoutView="0" workbookViewId="0" topLeftCell="A19">
      <selection activeCell="C28" sqref="C28"/>
    </sheetView>
  </sheetViews>
  <sheetFormatPr defaultColWidth="11.421875" defaultRowHeight="13.5" customHeight="1"/>
  <cols>
    <col min="1" max="1" width="33.00390625" style="1313" customWidth="1"/>
    <col min="2" max="2" width="64.00390625" style="1314" customWidth="1"/>
    <col min="3" max="16384" width="11.421875" style="1235" customWidth="1"/>
  </cols>
  <sheetData>
    <row r="1" spans="1:2" s="4" customFormat="1" ht="30" customHeight="1">
      <c r="A1" s="5"/>
      <c r="B1" s="41"/>
    </row>
    <row r="2" spans="1:2" s="11" customFormat="1" ht="42.75" customHeight="1">
      <c r="A2" s="8" t="s">
        <v>1108</v>
      </c>
      <c r="B2" s="1288"/>
    </row>
    <row r="3" spans="1:2" s="48" customFormat="1" ht="12.75" customHeight="1">
      <c r="A3" s="67"/>
      <c r="B3" s="44" t="s">
        <v>1</v>
      </c>
    </row>
    <row r="4" spans="1:2" s="15" customFormat="1" ht="16.5" customHeight="1">
      <c r="A4" s="67"/>
      <c r="B4" s="44">
        <f>DATEVER</f>
        <v>43515</v>
      </c>
    </row>
    <row r="5" spans="1:2" s="48" customFormat="1" ht="41.25" customHeight="1">
      <c r="A5" s="1366" t="s">
        <v>1109</v>
      </c>
      <c r="B5" s="1366"/>
    </row>
    <row r="6" spans="1:2" s="1291" customFormat="1" ht="12.75" customHeight="1">
      <c r="A6" s="1289"/>
      <c r="B6" s="1290"/>
    </row>
    <row r="7" spans="1:2" s="1293" customFormat="1" ht="12.75" customHeight="1">
      <c r="A7" s="1292" t="s">
        <v>1110</v>
      </c>
      <c r="B7" s="337" t="s">
        <v>1111</v>
      </c>
    </row>
    <row r="8" spans="1:2" s="820" customFormat="1" ht="12" customHeight="1">
      <c r="A8" s="52" t="s">
        <v>106</v>
      </c>
      <c r="B8" s="1315" t="s">
        <v>1112</v>
      </c>
    </row>
    <row r="9" spans="1:2" s="820" customFormat="1" ht="24" customHeight="1">
      <c r="A9" s="52" t="s">
        <v>157</v>
      </c>
      <c r="B9" s="1315" t="s">
        <v>1113</v>
      </c>
    </row>
    <row r="10" spans="1:2" s="820" customFormat="1" ht="24" customHeight="1">
      <c r="A10" s="52" t="s">
        <v>1114</v>
      </c>
      <c r="B10" s="1315" t="s">
        <v>1115</v>
      </c>
    </row>
    <row r="11" spans="1:2" s="820" customFormat="1" ht="24" customHeight="1">
      <c r="A11" s="52" t="s">
        <v>1116</v>
      </c>
      <c r="B11" s="1315" t="s">
        <v>1117</v>
      </c>
    </row>
    <row r="12" spans="1:2" s="820" customFormat="1" ht="24" customHeight="1">
      <c r="A12" s="52" t="s">
        <v>1118</v>
      </c>
      <c r="B12" s="1315" t="s">
        <v>1119</v>
      </c>
    </row>
    <row r="13" spans="1:2" s="820" customFormat="1" ht="48" customHeight="1">
      <c r="A13" s="52" t="s">
        <v>690</v>
      </c>
      <c r="B13" s="1315" t="s">
        <v>1120</v>
      </c>
    </row>
    <row r="14" spans="1:2" s="820" customFormat="1" ht="36" customHeight="1">
      <c r="A14" s="52" t="s">
        <v>304</v>
      </c>
      <c r="B14" s="1315" t="s">
        <v>1121</v>
      </c>
    </row>
    <row r="15" spans="1:2" s="820" customFormat="1" ht="48" customHeight="1">
      <c r="A15" s="52" t="s">
        <v>1122</v>
      </c>
      <c r="B15" s="1315" t="s">
        <v>1123</v>
      </c>
    </row>
    <row r="16" spans="1:2" s="820" customFormat="1" ht="24" customHeight="1">
      <c r="A16" s="52" t="s">
        <v>1124</v>
      </c>
      <c r="B16" s="1315" t="s">
        <v>1125</v>
      </c>
    </row>
    <row r="17" spans="1:2" s="820" customFormat="1" ht="48" customHeight="1">
      <c r="A17" s="52" t="s">
        <v>1126</v>
      </c>
      <c r="B17" s="1315" t="s">
        <v>1127</v>
      </c>
    </row>
    <row r="18" spans="1:2" ht="36" customHeight="1">
      <c r="A18" s="52" t="s">
        <v>1128</v>
      </c>
      <c r="B18" s="1315" t="s">
        <v>1129</v>
      </c>
    </row>
    <row r="19" spans="1:2" ht="15.75" customHeight="1">
      <c r="A19" s="52" t="s">
        <v>1130</v>
      </c>
      <c r="B19" s="1315" t="s">
        <v>1131</v>
      </c>
    </row>
    <row r="20" spans="1:2" ht="13.5" customHeight="1">
      <c r="A20" s="52" t="s">
        <v>1132</v>
      </c>
      <c r="B20" s="1315" t="s">
        <v>1133</v>
      </c>
    </row>
    <row r="21" spans="1:2" ht="13.5" customHeight="1">
      <c r="A21" s="52" t="s">
        <v>1134</v>
      </c>
      <c r="B21" s="1315" t="s">
        <v>1135</v>
      </c>
    </row>
    <row r="22" spans="1:2" ht="41.25" customHeight="1">
      <c r="A22" s="52" t="s">
        <v>1136</v>
      </c>
      <c r="B22" s="1315" t="s">
        <v>1137</v>
      </c>
    </row>
    <row r="23" spans="1:2" ht="36" customHeight="1">
      <c r="A23" s="52" t="s">
        <v>1138</v>
      </c>
      <c r="B23" s="1315" t="s">
        <v>1139</v>
      </c>
    </row>
    <row r="24" spans="1:2" ht="36" customHeight="1">
      <c r="A24" s="52" t="s">
        <v>1140</v>
      </c>
      <c r="B24" s="1315" t="s">
        <v>1141</v>
      </c>
    </row>
    <row r="25" spans="1:2" ht="24" customHeight="1">
      <c r="A25" s="52" t="s">
        <v>1142</v>
      </c>
      <c r="B25" s="1315" t="s">
        <v>1143</v>
      </c>
    </row>
    <row r="26" spans="1:2" ht="24" customHeight="1">
      <c r="A26" s="52" t="s">
        <v>1144</v>
      </c>
      <c r="B26" s="1315" t="s">
        <v>1145</v>
      </c>
    </row>
    <row r="27" spans="1:2" ht="13.5" customHeight="1">
      <c r="A27" s="52"/>
      <c r="B27" s="1315"/>
    </row>
    <row r="28" spans="1:2" ht="13.5" customHeight="1">
      <c r="A28" s="52"/>
      <c r="B28" s="1315"/>
    </row>
    <row r="29" spans="1:2" ht="13.5" customHeight="1">
      <c r="A29" s="52"/>
      <c r="B29" s="1315"/>
    </row>
    <row r="30" spans="1:2" ht="13.5" customHeight="1">
      <c r="A30" s="52"/>
      <c r="B30" s="1315"/>
    </row>
    <row r="31" spans="1:2" ht="13.5" customHeight="1">
      <c r="A31" s="52"/>
      <c r="B31" s="1315"/>
    </row>
    <row r="32" spans="1:2" ht="13.5" customHeight="1">
      <c r="A32" s="52"/>
      <c r="B32" s="1315"/>
    </row>
    <row r="33" spans="1:2" ht="13.5" customHeight="1">
      <c r="A33" s="52"/>
      <c r="B33" s="1315"/>
    </row>
    <row r="34" spans="1:2" ht="13.5" customHeight="1">
      <c r="A34" s="52"/>
      <c r="B34" s="1315"/>
    </row>
    <row r="35" spans="1:2" ht="13.5" customHeight="1">
      <c r="A35" s="52"/>
      <c r="B35" s="1315"/>
    </row>
    <row r="36" spans="1:2" ht="13.5" customHeight="1">
      <c r="A36" s="52"/>
      <c r="B36" s="1315"/>
    </row>
    <row r="37" spans="1:2" ht="13.5" customHeight="1">
      <c r="A37" s="52"/>
      <c r="B37" s="1315"/>
    </row>
    <row r="38" spans="1:2" ht="13.5" customHeight="1">
      <c r="A38" s="52"/>
      <c r="B38" s="1315"/>
    </row>
    <row r="39" spans="1:2" ht="13.5" customHeight="1">
      <c r="A39" s="52"/>
      <c r="B39" s="1315"/>
    </row>
    <row r="40" spans="1:2" ht="13.5" customHeight="1">
      <c r="A40" s="52"/>
      <c r="B40" s="1315"/>
    </row>
    <row r="41" spans="1:2" ht="13.5" customHeight="1">
      <c r="A41" s="52"/>
      <c r="B41" s="1315"/>
    </row>
    <row r="42" spans="1:2" ht="13.5" customHeight="1">
      <c r="A42" s="52"/>
      <c r="B42" s="1315"/>
    </row>
    <row r="43" spans="1:2" ht="13.5" customHeight="1">
      <c r="A43" s="52"/>
      <c r="B43" s="1315"/>
    </row>
    <row r="44" spans="1:2" ht="13.5" customHeight="1">
      <c r="A44" s="52"/>
      <c r="B44" s="1315"/>
    </row>
  </sheetData>
  <sheetProtection password="BF82" sheet="1" selectLockedCells="1" selectUnlockedCells="1"/>
  <mergeCells count="1">
    <mergeCell ref="A5:B5"/>
  </mergeCells>
  <printOptions/>
  <pageMargins left="0.39375" right="0.39375" top="0.39375" bottom="0.39375" header="0.5118055555555555" footer="0.39375"/>
  <pageSetup fitToHeight="3" fitToWidth="1" horizontalDpi="300" verticalDpi="300" orientation="portrait" paperSize="9"/>
  <headerFooter alignWithMargins="0">
    <oddFooter>&amp;C&amp;8&amp;F - Feuille &amp;A - page &amp;P / &amp;N</oddFoot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A1:M40"/>
  <sheetViews>
    <sheetView zoomScalePageLayoutView="0" workbookViewId="0" topLeftCell="A1">
      <selection activeCell="B10" sqref="B10"/>
    </sheetView>
  </sheetViews>
  <sheetFormatPr defaultColWidth="11.421875" defaultRowHeight="15" customHeight="1"/>
  <cols>
    <col min="1" max="1" width="31.28125" style="1291" customWidth="1"/>
    <col min="2" max="2" width="12.57421875" style="1316" customWidth="1"/>
    <col min="3" max="9" width="11.7109375" style="1317" customWidth="1"/>
    <col min="10" max="16384" width="11.421875" style="1291" customWidth="1"/>
  </cols>
  <sheetData>
    <row r="1" spans="1:9" s="4" customFormat="1" ht="30" customHeight="1">
      <c r="A1" s="5"/>
      <c r="B1" s="7"/>
      <c r="C1" s="397"/>
      <c r="D1" s="397"/>
      <c r="E1" s="397"/>
      <c r="F1" s="1318"/>
      <c r="G1" s="1318"/>
      <c r="H1" s="1318"/>
      <c r="I1" s="1318"/>
    </row>
    <row r="2" spans="1:9" s="11" customFormat="1" ht="42.75" customHeight="1">
      <c r="A2" s="8" t="s">
        <v>62</v>
      </c>
      <c r="B2" s="10"/>
      <c r="C2" s="1319"/>
      <c r="D2" s="1319"/>
      <c r="E2" s="1319"/>
      <c r="F2" s="43"/>
      <c r="G2" s="43"/>
      <c r="H2" s="43"/>
      <c r="I2" s="43" t="s">
        <v>1</v>
      </c>
    </row>
    <row r="3" spans="1:9" s="48" customFormat="1" ht="12.75" customHeight="1">
      <c r="A3" s="67"/>
      <c r="B3" s="46"/>
      <c r="C3" s="797"/>
      <c r="D3" s="797"/>
      <c r="E3" s="797"/>
      <c r="F3" s="44"/>
      <c r="G3" s="44"/>
      <c r="H3" s="44"/>
      <c r="I3" s="44">
        <f>DATEVER</f>
        <v>43515</v>
      </c>
    </row>
    <row r="4" spans="1:9" s="11" customFormat="1" ht="20.25" customHeight="1">
      <c r="A4" s="1320" t="s">
        <v>1146</v>
      </c>
      <c r="B4" s="1321"/>
      <c r="C4" s="1322"/>
      <c r="D4" s="1322"/>
      <c r="E4" s="1322"/>
      <c r="F4" s="1322"/>
      <c r="G4" s="1322"/>
      <c r="H4" s="1322"/>
      <c r="I4" s="1322"/>
    </row>
    <row r="5" spans="1:6" s="15" customFormat="1" ht="33" customHeight="1">
      <c r="A5" s="1366" t="s">
        <v>1147</v>
      </c>
      <c r="B5" s="1366"/>
      <c r="C5" s="1366"/>
      <c r="D5" s="1366"/>
      <c r="E5" s="1366"/>
      <c r="F5" s="1366"/>
    </row>
    <row r="6" spans="1:9" s="4" customFormat="1" ht="13.5" customHeight="1" thickBot="1">
      <c r="A6" s="1323"/>
      <c r="B6" s="1324"/>
      <c r="C6" s="1318"/>
      <c r="D6" s="1318"/>
      <c r="E6" s="1318"/>
      <c r="F6" s="1318"/>
      <c r="G6" s="1318"/>
      <c r="H6" s="1318"/>
      <c r="I6" s="1318"/>
    </row>
    <row r="7" spans="1:13" s="1329" customFormat="1" ht="15" customHeight="1" thickBot="1">
      <c r="A7" s="1325" t="s">
        <v>94</v>
      </c>
      <c r="B7" s="1326" t="s">
        <v>95</v>
      </c>
      <c r="C7" s="1327">
        <v>2007</v>
      </c>
      <c r="D7" s="1327">
        <v>2008</v>
      </c>
      <c r="E7" s="1327">
        <v>2009</v>
      </c>
      <c r="F7" s="1328">
        <v>2010</v>
      </c>
      <c r="G7" s="1328">
        <v>2011</v>
      </c>
      <c r="H7" s="1328">
        <v>2012</v>
      </c>
      <c r="I7" s="1328">
        <v>2013</v>
      </c>
      <c r="J7" s="1328">
        <v>2014</v>
      </c>
      <c r="K7" s="1328">
        <v>2015</v>
      </c>
      <c r="L7" s="1328">
        <v>2016</v>
      </c>
      <c r="M7" s="1328">
        <v>2017</v>
      </c>
    </row>
    <row r="8" spans="1:11" s="268" customFormat="1" ht="15" customHeight="1">
      <c r="A8" s="1330" t="s">
        <v>1148</v>
      </c>
      <c r="B8" s="1331" t="s">
        <v>1149</v>
      </c>
      <c r="C8" s="1332"/>
      <c r="D8" s="1332"/>
      <c r="E8" s="1332"/>
      <c r="F8" s="1333"/>
      <c r="G8" s="1333"/>
      <c r="H8" s="1333"/>
      <c r="I8" s="1333"/>
      <c r="J8" s="1333"/>
      <c r="K8" s="1333"/>
    </row>
    <row r="9" spans="1:11" s="268" customFormat="1" ht="15" customHeight="1">
      <c r="A9" s="65" t="s">
        <v>1150</v>
      </c>
      <c r="B9" s="1334">
        <v>43515</v>
      </c>
      <c r="C9" s="1335"/>
      <c r="D9" s="1335"/>
      <c r="E9" s="1335"/>
      <c r="F9" s="1336"/>
      <c r="G9" s="1336"/>
      <c r="H9" s="1336"/>
      <c r="I9" s="1336"/>
      <c r="J9" s="1336"/>
      <c r="K9" s="1336"/>
    </row>
    <row r="10" spans="1:13" s="268" customFormat="1" ht="15" customHeight="1">
      <c r="A10" s="65" t="s">
        <v>737</v>
      </c>
      <c r="B10" s="1337"/>
      <c r="C10" s="1338">
        <v>2007</v>
      </c>
      <c r="D10" s="1338">
        <v>2008</v>
      </c>
      <c r="E10" s="1338">
        <v>2009</v>
      </c>
      <c r="F10" s="1338">
        <v>2010</v>
      </c>
      <c r="G10" s="1338">
        <v>2011</v>
      </c>
      <c r="H10" s="1338">
        <v>2012</v>
      </c>
      <c r="I10" s="1338">
        <v>2013</v>
      </c>
      <c r="J10" s="1338">
        <v>2014</v>
      </c>
      <c r="K10" s="1338">
        <v>2015</v>
      </c>
      <c r="L10" s="1338">
        <v>2016</v>
      </c>
      <c r="M10" s="1338">
        <v>2017</v>
      </c>
    </row>
    <row r="11" spans="1:13" s="268" customFormat="1" ht="15" customHeight="1">
      <c r="A11" s="65" t="s">
        <v>738</v>
      </c>
      <c r="B11" s="1337" t="s">
        <v>1151</v>
      </c>
      <c r="C11" s="1339">
        <v>0.03</v>
      </c>
      <c r="D11" s="1339">
        <v>0.02</v>
      </c>
      <c r="E11" s="1339">
        <v>0.015</v>
      </c>
      <c r="F11" s="1339">
        <v>0.015</v>
      </c>
      <c r="G11" s="1339">
        <v>0.021</v>
      </c>
      <c r="H11" s="1339">
        <v>0.0225</v>
      </c>
      <c r="I11" s="1339">
        <v>0.016</v>
      </c>
      <c r="J11" s="1339">
        <v>0.0125</v>
      </c>
      <c r="K11" s="1339">
        <v>0.009000000000000001</v>
      </c>
      <c r="L11" s="1339">
        <v>0.00980555555555556</v>
      </c>
      <c r="M11" s="1339">
        <v>0.00818888888888886</v>
      </c>
    </row>
    <row r="12" spans="1:13" s="268" customFormat="1" ht="15" customHeight="1">
      <c r="A12" s="65" t="s">
        <v>739</v>
      </c>
      <c r="B12" s="1337" t="s">
        <v>1152</v>
      </c>
      <c r="C12" s="1340">
        <v>11940</v>
      </c>
      <c r="D12" s="1340">
        <v>12300</v>
      </c>
      <c r="E12" s="1340">
        <v>12510</v>
      </c>
      <c r="F12" s="1340">
        <v>12670</v>
      </c>
      <c r="G12" s="1340">
        <v>12870</v>
      </c>
      <c r="H12" s="1340">
        <v>13290</v>
      </c>
      <c r="I12" s="1340">
        <v>13450</v>
      </c>
      <c r="J12" s="1340">
        <v>13560</v>
      </c>
      <c r="K12" s="1340">
        <v>13640</v>
      </c>
      <c r="L12" s="1340">
        <v>14004.4444444444</v>
      </c>
      <c r="M12" s="1340">
        <v>14222.4444444444</v>
      </c>
    </row>
    <row r="13" spans="1:13" s="268" customFormat="1" ht="15" customHeight="1">
      <c r="A13" s="65" t="s">
        <v>740</v>
      </c>
      <c r="B13" s="1301" t="s">
        <v>1153</v>
      </c>
      <c r="C13" s="1341">
        <v>1.3</v>
      </c>
      <c r="D13" s="1341">
        <v>1.3</v>
      </c>
      <c r="E13" s="1341">
        <v>1.3</v>
      </c>
      <c r="F13" s="1341">
        <v>1.3</v>
      </c>
      <c r="G13" s="1341">
        <v>1.3</v>
      </c>
      <c r="H13" s="1341">
        <v>1.3</v>
      </c>
      <c r="I13" s="1341">
        <v>1.3</v>
      </c>
      <c r="J13" s="1341">
        <v>1.3</v>
      </c>
      <c r="K13" s="1341">
        <v>1.3</v>
      </c>
      <c r="L13" s="1341">
        <v>1.3</v>
      </c>
      <c r="M13" s="1341">
        <v>1.3</v>
      </c>
    </row>
    <row r="14" spans="1:13" s="268" customFormat="1" ht="15" customHeight="1">
      <c r="A14" s="65" t="s">
        <v>741</v>
      </c>
      <c r="B14" s="1337" t="s">
        <v>1154</v>
      </c>
      <c r="C14" s="1340">
        <v>150</v>
      </c>
      <c r="D14" s="1340">
        <v>150</v>
      </c>
      <c r="E14" s="1340">
        <v>150</v>
      </c>
      <c r="F14" s="1340">
        <v>150</v>
      </c>
      <c r="G14" s="1340">
        <v>150</v>
      </c>
      <c r="H14" s="1340">
        <v>150</v>
      </c>
      <c r="I14" s="1340">
        <v>150</v>
      </c>
      <c r="J14" s="1340">
        <v>150</v>
      </c>
      <c r="K14" s="1340">
        <v>150</v>
      </c>
      <c r="L14" s="1340">
        <v>150</v>
      </c>
      <c r="M14" s="1340">
        <v>150</v>
      </c>
    </row>
    <row r="15" spans="1:9" s="268" customFormat="1" ht="15" customHeight="1">
      <c r="A15" s="65"/>
      <c r="B15" s="1337"/>
      <c r="C15" s="1342"/>
      <c r="D15" s="1342"/>
      <c r="E15" s="1342"/>
      <c r="F15" s="1343"/>
      <c r="G15" s="1343"/>
      <c r="H15" s="1343"/>
      <c r="I15" s="1343"/>
    </row>
    <row r="16" spans="1:9" s="268" customFormat="1" ht="15" customHeight="1">
      <c r="A16" s="65"/>
      <c r="B16" s="1337"/>
      <c r="C16" s="1342"/>
      <c r="D16" s="1342"/>
      <c r="E16" s="1342"/>
      <c r="F16" s="1343"/>
      <c r="G16" s="1343"/>
      <c r="H16" s="1343"/>
      <c r="I16" s="1343"/>
    </row>
    <row r="17" spans="1:9" s="268" customFormat="1" ht="15" customHeight="1">
      <c r="A17" s="65"/>
      <c r="B17" s="1337"/>
      <c r="C17" s="1342"/>
      <c r="D17" s="1342"/>
      <c r="E17" s="1342"/>
      <c r="F17" s="1343"/>
      <c r="G17" s="1343"/>
      <c r="H17" s="1343"/>
      <c r="I17" s="1343"/>
    </row>
    <row r="18" spans="1:9" s="268" customFormat="1" ht="15" customHeight="1">
      <c r="A18" s="65"/>
      <c r="B18" s="1337"/>
      <c r="C18" s="1342"/>
      <c r="D18" s="1342"/>
      <c r="E18" s="1342"/>
      <c r="F18" s="1343"/>
      <c r="G18" s="1343"/>
      <c r="H18" s="1343"/>
      <c r="I18" s="1343"/>
    </row>
    <row r="19" spans="1:9" s="4" customFormat="1" ht="15" customHeight="1">
      <c r="A19" s="65"/>
      <c r="B19" s="1337"/>
      <c r="C19" s="1342"/>
      <c r="D19" s="1342"/>
      <c r="E19" s="1342"/>
      <c r="F19" s="1343"/>
      <c r="G19" s="1343"/>
      <c r="H19" s="1343"/>
      <c r="I19" s="1343"/>
    </row>
    <row r="20" spans="1:9" s="4" customFormat="1" ht="15" customHeight="1">
      <c r="A20" s="65"/>
      <c r="B20" s="1337"/>
      <c r="C20" s="1342"/>
      <c r="D20" s="1342"/>
      <c r="E20" s="1342"/>
      <c r="F20" s="1343"/>
      <c r="G20" s="1343"/>
      <c r="H20" s="1343"/>
      <c r="I20" s="1343"/>
    </row>
    <row r="21" spans="1:9" s="4" customFormat="1" ht="15" customHeight="1">
      <c r="A21" s="65"/>
      <c r="B21" s="1337"/>
      <c r="C21" s="1342"/>
      <c r="D21" s="1342"/>
      <c r="E21" s="1342"/>
      <c r="F21" s="1343"/>
      <c r="G21" s="1343"/>
      <c r="H21" s="1343"/>
      <c r="I21" s="1343"/>
    </row>
    <row r="22" spans="1:9" s="4" customFormat="1" ht="15" customHeight="1">
      <c r="A22" s="65"/>
      <c r="B22" s="1337"/>
      <c r="C22" s="1342"/>
      <c r="D22" s="1342"/>
      <c r="E22" s="1342"/>
      <c r="F22" s="1343"/>
      <c r="G22" s="1343"/>
      <c r="H22" s="1343"/>
      <c r="I22" s="1343"/>
    </row>
    <row r="23" spans="1:9" ht="15" customHeight="1">
      <c r="A23" s="65"/>
      <c r="B23" s="1337"/>
      <c r="C23" s="1342"/>
      <c r="D23" s="1342"/>
      <c r="E23" s="1342"/>
      <c r="F23" s="1343"/>
      <c r="G23" s="1343"/>
      <c r="H23" s="1343"/>
      <c r="I23" s="1343"/>
    </row>
    <row r="24" spans="1:9" ht="15" customHeight="1">
      <c r="A24" s="65"/>
      <c r="B24" s="1337"/>
      <c r="C24" s="1342"/>
      <c r="D24" s="1342"/>
      <c r="E24" s="1342"/>
      <c r="F24" s="1343"/>
      <c r="G24" s="1343"/>
      <c r="H24" s="1343"/>
      <c r="I24" s="1343"/>
    </row>
    <row r="25" spans="1:9" ht="15" customHeight="1">
      <c r="A25" s="65"/>
      <c r="B25" s="1337"/>
      <c r="C25" s="1342"/>
      <c r="D25" s="1342"/>
      <c r="E25" s="1342"/>
      <c r="F25" s="1343"/>
      <c r="G25" s="1343"/>
      <c r="H25" s="1343"/>
      <c r="I25" s="1343"/>
    </row>
    <row r="26" spans="1:9" ht="15" customHeight="1">
      <c r="A26" s="65"/>
      <c r="B26" s="1337"/>
      <c r="C26" s="1342"/>
      <c r="D26" s="1342"/>
      <c r="E26" s="1342"/>
      <c r="F26" s="1343"/>
      <c r="G26" s="1343"/>
      <c r="H26" s="1343"/>
      <c r="I26" s="1343"/>
    </row>
    <row r="27" spans="1:9" ht="15" customHeight="1">
      <c r="A27" s="65"/>
      <c r="B27" s="1337"/>
      <c r="C27" s="1342"/>
      <c r="D27" s="1342"/>
      <c r="E27" s="1342"/>
      <c r="F27" s="1343"/>
      <c r="G27" s="1343"/>
      <c r="H27" s="1343"/>
      <c r="I27" s="1343"/>
    </row>
    <row r="28" spans="1:9" ht="15" customHeight="1">
      <c r="A28" s="65"/>
      <c r="B28" s="1337"/>
      <c r="C28" s="1342"/>
      <c r="D28" s="1342"/>
      <c r="E28" s="1342"/>
      <c r="F28" s="1343"/>
      <c r="G28" s="1343"/>
      <c r="H28" s="1343"/>
      <c r="I28" s="1343"/>
    </row>
    <row r="29" spans="1:9" ht="15" customHeight="1">
      <c r="A29" s="65"/>
      <c r="B29" s="1337"/>
      <c r="C29" s="1342"/>
      <c r="D29" s="1342"/>
      <c r="E29" s="1342"/>
      <c r="F29" s="1343"/>
      <c r="G29" s="1343"/>
      <c r="H29" s="1343"/>
      <c r="I29" s="1343"/>
    </row>
    <row r="30" spans="1:9" ht="15" customHeight="1">
      <c r="A30" s="65"/>
      <c r="B30" s="1337"/>
      <c r="C30" s="1342"/>
      <c r="D30" s="1342"/>
      <c r="E30" s="1342"/>
      <c r="F30" s="1343"/>
      <c r="G30" s="1343"/>
      <c r="H30" s="1343"/>
      <c r="I30" s="1343"/>
    </row>
    <row r="31" spans="1:9" ht="15" customHeight="1">
      <c r="A31" s="65"/>
      <c r="B31" s="1337"/>
      <c r="C31" s="1342"/>
      <c r="D31" s="1342"/>
      <c r="E31" s="1342"/>
      <c r="F31" s="1343"/>
      <c r="G31" s="1343"/>
      <c r="H31" s="1343"/>
      <c r="I31" s="1343"/>
    </row>
    <row r="32" spans="1:9" ht="15" customHeight="1">
      <c r="A32" s="65"/>
      <c r="B32" s="1337"/>
      <c r="C32" s="1342"/>
      <c r="D32" s="1342"/>
      <c r="E32" s="1342"/>
      <c r="F32" s="1343"/>
      <c r="G32" s="1343"/>
      <c r="H32" s="1343"/>
      <c r="I32" s="1343"/>
    </row>
    <row r="33" spans="1:9" ht="15" customHeight="1">
      <c r="A33" s="65"/>
      <c r="B33" s="1337"/>
      <c r="C33" s="1342"/>
      <c r="D33" s="1342"/>
      <c r="E33" s="1342"/>
      <c r="F33" s="1343"/>
      <c r="G33" s="1343"/>
      <c r="H33" s="1343"/>
      <c r="I33" s="1343"/>
    </row>
    <row r="34" spans="1:9" ht="15" customHeight="1">
      <c r="A34" s="65"/>
      <c r="B34" s="1337"/>
      <c r="C34" s="1342"/>
      <c r="D34" s="1342"/>
      <c r="E34" s="1342"/>
      <c r="F34" s="1343"/>
      <c r="G34" s="1343"/>
      <c r="H34" s="1343"/>
      <c r="I34" s="1343"/>
    </row>
    <row r="35" spans="1:9" ht="15" customHeight="1">
      <c r="A35" s="65"/>
      <c r="B35" s="1337"/>
      <c r="C35" s="1342"/>
      <c r="D35" s="1342"/>
      <c r="E35" s="1342"/>
      <c r="F35" s="1343"/>
      <c r="G35" s="1343"/>
      <c r="H35" s="1343"/>
      <c r="I35" s="1343"/>
    </row>
    <row r="36" spans="1:9" ht="15" customHeight="1">
      <c r="A36" s="65"/>
      <c r="B36" s="1337"/>
      <c r="C36" s="1342"/>
      <c r="D36" s="1342"/>
      <c r="E36" s="1342"/>
      <c r="F36" s="1343"/>
      <c r="G36" s="1343"/>
      <c r="H36" s="1343"/>
      <c r="I36" s="1343"/>
    </row>
    <row r="37" spans="1:9" ht="15" customHeight="1">
      <c r="A37" s="65"/>
      <c r="B37" s="1337"/>
      <c r="C37" s="1342"/>
      <c r="D37" s="1342"/>
      <c r="E37" s="1342"/>
      <c r="F37" s="1343"/>
      <c r="G37" s="1343"/>
      <c r="H37" s="1343"/>
      <c r="I37" s="1343"/>
    </row>
    <row r="38" spans="1:9" ht="15" customHeight="1">
      <c r="A38" s="65"/>
      <c r="B38" s="1337"/>
      <c r="C38" s="1342"/>
      <c r="D38" s="1342"/>
      <c r="E38" s="1342"/>
      <c r="F38" s="1343"/>
      <c r="G38" s="1343"/>
      <c r="H38" s="1343"/>
      <c r="I38" s="1343"/>
    </row>
    <row r="39" spans="1:9" ht="15" customHeight="1">
      <c r="A39" s="65"/>
      <c r="B39" s="1337"/>
      <c r="C39" s="1342"/>
      <c r="D39" s="1342"/>
      <c r="E39" s="1342"/>
      <c r="F39" s="1343"/>
      <c r="G39" s="1343"/>
      <c r="H39" s="1343"/>
      <c r="I39" s="1343"/>
    </row>
    <row r="40" spans="1:9" ht="15" customHeight="1">
      <c r="A40" s="65"/>
      <c r="B40" s="1337"/>
      <c r="C40" s="1342"/>
      <c r="D40" s="1342"/>
      <c r="E40" s="1342"/>
      <c r="F40" s="1343"/>
      <c r="G40" s="1343"/>
      <c r="H40" s="1343"/>
      <c r="I40" s="1343"/>
    </row>
  </sheetData>
  <sheetProtection password="BF82" sheet="1" selectLockedCells="1" selectUnlockedCells="1"/>
  <mergeCells count="1">
    <mergeCell ref="A5:F5"/>
  </mergeCells>
  <printOptions/>
  <pageMargins left="0.39375" right="0.39375" top="0.39375" bottom="0.39375" header="0.5118055555555555" footer="0.5118055555555555"/>
  <pageSetup fitToHeight="1" fitToWidth="1" horizontalDpi="300" verticalDpi="300" orientation="portrait" paperSize="9"/>
  <drawing r:id="rId1"/>
</worksheet>
</file>

<file path=xl/worksheets/sheet18.xml><?xml version="1.0" encoding="utf-8"?>
<worksheet xmlns="http://schemas.openxmlformats.org/spreadsheetml/2006/main" xmlns:r="http://schemas.openxmlformats.org/officeDocument/2006/relationships">
  <dimension ref="A1:B54"/>
  <sheetViews>
    <sheetView zoomScalePageLayoutView="0" workbookViewId="0" topLeftCell="A1">
      <selection activeCell="C28" sqref="C28"/>
    </sheetView>
  </sheetViews>
  <sheetFormatPr defaultColWidth="11.421875" defaultRowHeight="12.75"/>
  <cols>
    <col min="1" max="1" width="39.7109375" style="0" customWidth="1"/>
    <col min="2" max="2" width="53.28125" style="0" customWidth="1"/>
  </cols>
  <sheetData>
    <row r="1" spans="1:2" ht="18">
      <c r="A1" s="1344" t="s">
        <v>1155</v>
      </c>
      <c r="B1" s="1345"/>
    </row>
    <row r="2" spans="1:2" ht="12.75">
      <c r="A2" s="1346"/>
      <c r="B2" s="1345"/>
    </row>
    <row r="3" spans="1:2" ht="15" customHeight="1">
      <c r="A3" s="1347" t="s">
        <v>1156</v>
      </c>
      <c r="B3" s="1348" t="s">
        <v>1157</v>
      </c>
    </row>
    <row r="4" spans="1:2" ht="15" customHeight="1">
      <c r="A4" s="1349" t="s">
        <v>1158</v>
      </c>
      <c r="B4" s="1350" t="s">
        <v>1159</v>
      </c>
    </row>
    <row r="5" spans="1:2" ht="15" customHeight="1">
      <c r="A5" s="1351" t="s">
        <v>1160</v>
      </c>
      <c r="B5" s="1352" t="s">
        <v>1161</v>
      </c>
    </row>
    <row r="6" spans="1:2" ht="15" customHeight="1">
      <c r="A6" s="1351" t="s">
        <v>1162</v>
      </c>
      <c r="B6" s="1352" t="s">
        <v>1163</v>
      </c>
    </row>
    <row r="7" spans="1:2" ht="15" customHeight="1">
      <c r="A7" s="1351" t="s">
        <v>1164</v>
      </c>
      <c r="B7" s="1352" t="s">
        <v>1165</v>
      </c>
    </row>
    <row r="8" spans="1:2" ht="15" customHeight="1">
      <c r="A8" s="1351" t="s">
        <v>1166</v>
      </c>
      <c r="B8" s="1352" t="s">
        <v>1167</v>
      </c>
    </row>
    <row r="9" spans="1:2" ht="15" customHeight="1">
      <c r="A9" s="1351" t="s">
        <v>1168</v>
      </c>
      <c r="B9" s="1352" t="s">
        <v>1169</v>
      </c>
    </row>
    <row r="10" spans="1:2" ht="15" customHeight="1">
      <c r="A10" s="1353" t="s">
        <v>1170</v>
      </c>
      <c r="B10" s="1352" t="s">
        <v>1171</v>
      </c>
    </row>
    <row r="11" spans="1:2" ht="15" customHeight="1">
      <c r="A11" s="1353" t="s">
        <v>1172</v>
      </c>
      <c r="B11" s="1354" t="s">
        <v>1173</v>
      </c>
    </row>
    <row r="12" spans="1:2" ht="15" customHeight="1">
      <c r="A12" s="1353" t="s">
        <v>1174</v>
      </c>
      <c r="B12" s="1354" t="s">
        <v>1175</v>
      </c>
    </row>
    <row r="13" spans="1:2" ht="15" customHeight="1">
      <c r="A13" s="1349" t="s">
        <v>1176</v>
      </c>
      <c r="B13" s="1354" t="s">
        <v>1177</v>
      </c>
    </row>
    <row r="14" spans="1:2" ht="15" customHeight="1">
      <c r="A14" s="1353" t="s">
        <v>1178</v>
      </c>
      <c r="B14" s="1354" t="s">
        <v>1179</v>
      </c>
    </row>
    <row r="15" spans="1:2" ht="15" customHeight="1">
      <c r="A15" s="1353" t="s">
        <v>1180</v>
      </c>
      <c r="B15" s="1354" t="s">
        <v>1181</v>
      </c>
    </row>
    <row r="16" spans="1:2" ht="15" customHeight="1">
      <c r="A16" s="1353" t="s">
        <v>1182</v>
      </c>
      <c r="B16" s="1354" t="s">
        <v>1183</v>
      </c>
    </row>
    <row r="17" spans="1:2" ht="15" customHeight="1">
      <c r="A17" s="1353" t="s">
        <v>1184</v>
      </c>
      <c r="B17" s="1354" t="s">
        <v>1185</v>
      </c>
    </row>
    <row r="18" spans="1:2" ht="15" customHeight="1">
      <c r="A18" s="1353" t="s">
        <v>1186</v>
      </c>
      <c r="B18" s="1354" t="s">
        <v>1187</v>
      </c>
    </row>
    <row r="19" spans="1:2" ht="15" customHeight="1">
      <c r="A19" s="1353" t="s">
        <v>1188</v>
      </c>
      <c r="B19" s="1354" t="s">
        <v>1189</v>
      </c>
    </row>
    <row r="20" spans="1:2" ht="15" customHeight="1">
      <c r="A20" s="1353" t="s">
        <v>1190</v>
      </c>
      <c r="B20" s="1354" t="s">
        <v>1191</v>
      </c>
    </row>
    <row r="21" spans="1:2" ht="15" customHeight="1">
      <c r="A21" s="1353" t="s">
        <v>1192</v>
      </c>
      <c r="B21" s="1352" t="s">
        <v>1193</v>
      </c>
    </row>
    <row r="22" spans="1:2" ht="15" customHeight="1">
      <c r="A22" s="1353" t="s">
        <v>1194</v>
      </c>
      <c r="B22" s="1352" t="s">
        <v>1195</v>
      </c>
    </row>
    <row r="23" spans="1:2" ht="15" customHeight="1">
      <c r="A23" s="1353" t="s">
        <v>1196</v>
      </c>
      <c r="B23" s="1352" t="s">
        <v>1197</v>
      </c>
    </row>
    <row r="24" spans="1:2" ht="15" customHeight="1">
      <c r="A24" s="1355" t="s">
        <v>1198</v>
      </c>
      <c r="B24" s="1354" t="s">
        <v>1199</v>
      </c>
    </row>
    <row r="25" spans="1:2" ht="15" customHeight="1">
      <c r="A25" s="1353" t="s">
        <v>1200</v>
      </c>
      <c r="B25" s="1354" t="s">
        <v>1201</v>
      </c>
    </row>
    <row r="26" spans="1:2" ht="15" customHeight="1">
      <c r="A26" s="1353" t="s">
        <v>1202</v>
      </c>
      <c r="B26" s="1352" t="s">
        <v>1203</v>
      </c>
    </row>
    <row r="27" spans="1:2" ht="15" customHeight="1">
      <c r="A27" s="1353" t="s">
        <v>1204</v>
      </c>
      <c r="B27" s="1354" t="s">
        <v>1205</v>
      </c>
    </row>
    <row r="28" spans="1:2" ht="15" customHeight="1">
      <c r="A28" s="1353" t="s">
        <v>1206</v>
      </c>
      <c r="B28" s="1354" t="s">
        <v>1207</v>
      </c>
    </row>
    <row r="29" spans="1:2" ht="15" customHeight="1">
      <c r="A29" s="1353" t="s">
        <v>1208</v>
      </c>
      <c r="B29" s="1354" t="s">
        <v>1209</v>
      </c>
    </row>
    <row r="30" spans="1:2" ht="15" customHeight="1">
      <c r="A30" s="1356" t="s">
        <v>1210</v>
      </c>
      <c r="B30" s="1354" t="s">
        <v>1211</v>
      </c>
    </row>
    <row r="31" spans="1:2" ht="15" customHeight="1">
      <c r="A31" s="1357" t="s">
        <v>1212</v>
      </c>
      <c r="B31" s="1354" t="s">
        <v>1213</v>
      </c>
    </row>
    <row r="32" spans="1:2" ht="15" customHeight="1">
      <c r="A32" s="1357" t="s">
        <v>1214</v>
      </c>
      <c r="B32" s="1354" t="s">
        <v>1215</v>
      </c>
    </row>
    <row r="33" spans="1:2" ht="15" customHeight="1">
      <c r="A33" s="1357" t="s">
        <v>1216</v>
      </c>
      <c r="B33" s="1354" t="s">
        <v>1217</v>
      </c>
    </row>
    <row r="34" spans="1:2" ht="15" customHeight="1">
      <c r="A34" s="1357" t="s">
        <v>1218</v>
      </c>
      <c r="B34" s="1354" t="s">
        <v>1219</v>
      </c>
    </row>
    <row r="35" spans="1:2" ht="15" customHeight="1">
      <c r="A35" s="1349" t="s">
        <v>1220</v>
      </c>
      <c r="B35" s="1354" t="s">
        <v>1221</v>
      </c>
    </row>
    <row r="36" spans="1:2" ht="15" customHeight="1">
      <c r="A36" s="1353" t="s">
        <v>1222</v>
      </c>
      <c r="B36" s="1354" t="s">
        <v>1223</v>
      </c>
    </row>
    <row r="37" spans="1:2" ht="15" customHeight="1">
      <c r="A37" s="1355" t="s">
        <v>1224</v>
      </c>
      <c r="B37" s="1354" t="s">
        <v>1225</v>
      </c>
    </row>
    <row r="38" spans="1:2" ht="15" customHeight="1">
      <c r="A38" s="1353" t="s">
        <v>1226</v>
      </c>
      <c r="B38" s="1352" t="s">
        <v>1227</v>
      </c>
    </row>
    <row r="39" spans="1:2" ht="15" customHeight="1">
      <c r="A39" s="1353" t="s">
        <v>1228</v>
      </c>
      <c r="B39" s="1358"/>
    </row>
    <row r="40" spans="1:2" ht="15" customHeight="1">
      <c r="A40" s="1353" t="s">
        <v>1229</v>
      </c>
      <c r="B40" s="1359" t="s">
        <v>1230</v>
      </c>
    </row>
    <row r="41" spans="1:2" ht="15" customHeight="1">
      <c r="A41" s="1353" t="s">
        <v>1231</v>
      </c>
      <c r="B41" s="1360" t="s">
        <v>1232</v>
      </c>
    </row>
    <row r="42" spans="1:2" ht="15" customHeight="1">
      <c r="A42" s="1353" t="s">
        <v>1233</v>
      </c>
      <c r="B42" s="1361" t="s">
        <v>1234</v>
      </c>
    </row>
    <row r="43" spans="1:2" ht="15" customHeight="1">
      <c r="A43" s="1353" t="s">
        <v>1235</v>
      </c>
      <c r="B43" s="1361" t="s">
        <v>1236</v>
      </c>
    </row>
    <row r="44" spans="1:2" ht="15" customHeight="1">
      <c r="A44" s="1353" t="s">
        <v>1237</v>
      </c>
      <c r="B44" s="1361" t="s">
        <v>1238</v>
      </c>
    </row>
    <row r="45" spans="1:2" ht="15" customHeight="1">
      <c r="A45" s="1353" t="s">
        <v>1239</v>
      </c>
      <c r="B45" s="1360" t="s">
        <v>1240</v>
      </c>
    </row>
    <row r="46" spans="1:2" ht="15" customHeight="1">
      <c r="A46" s="1353" t="s">
        <v>1241</v>
      </c>
      <c r="B46" s="1360" t="s">
        <v>1242</v>
      </c>
    </row>
    <row r="47" spans="1:2" ht="15" customHeight="1">
      <c r="A47" s="1353" t="s">
        <v>1243</v>
      </c>
      <c r="B47" s="1360" t="s">
        <v>1244</v>
      </c>
    </row>
    <row r="48" spans="1:2" ht="15" customHeight="1">
      <c r="A48" s="1351" t="s">
        <v>1245</v>
      </c>
      <c r="B48" s="1360" t="s">
        <v>1246</v>
      </c>
    </row>
    <row r="49" spans="1:2" ht="15" customHeight="1">
      <c r="A49" s="1349" t="s">
        <v>1247</v>
      </c>
      <c r="B49" s="1360" t="s">
        <v>1248</v>
      </c>
    </row>
    <row r="50" spans="1:2" ht="15" customHeight="1">
      <c r="A50" s="1353" t="s">
        <v>1249</v>
      </c>
      <c r="B50" s="1360" t="s">
        <v>1250</v>
      </c>
    </row>
    <row r="51" spans="1:2" ht="15" customHeight="1">
      <c r="A51" s="1353" t="s">
        <v>1251</v>
      </c>
      <c r="B51" s="1360" t="s">
        <v>1252</v>
      </c>
    </row>
    <row r="52" spans="1:2" ht="15" customHeight="1">
      <c r="A52" s="1353" t="s">
        <v>1253</v>
      </c>
      <c r="B52" s="1361" t="s">
        <v>1254</v>
      </c>
    </row>
    <row r="53" spans="1:2" ht="15" customHeight="1">
      <c r="A53" s="1353" t="s">
        <v>1255</v>
      </c>
      <c r="B53" s="1360" t="s">
        <v>1256</v>
      </c>
    </row>
    <row r="54" spans="1:2" ht="15" customHeight="1">
      <c r="A54" s="1362" t="s">
        <v>1257</v>
      </c>
      <c r="B54" s="1363" t="s">
        <v>1258</v>
      </c>
    </row>
  </sheetData>
  <sheetProtection password="BF82" sheet="1" selectLockedCells="1" selectUnlockedCells="1"/>
  <printOptions/>
  <pageMargins left="0.7083333333333334" right="0.7083333333333334" top="0.7479166666666667" bottom="0.7479166666666667" header="0.5118055555555555" footer="0.5118055555555555"/>
  <pageSetup horizontalDpi="300" verticalDpi="300" orientation="portrait" paperSize="9" scale="85"/>
</worksheet>
</file>

<file path=xl/worksheets/sheet2.xml><?xml version="1.0" encoding="utf-8"?>
<worksheet xmlns="http://schemas.openxmlformats.org/spreadsheetml/2006/main" xmlns:r="http://schemas.openxmlformats.org/officeDocument/2006/relationships">
  <dimension ref="A1:C22"/>
  <sheetViews>
    <sheetView showGridLines="0" zoomScalePageLayoutView="0" workbookViewId="0" topLeftCell="A1">
      <pane ySplit="7" topLeftCell="A8" activePane="bottomLeft" state="frozen"/>
      <selection pane="topLeft" activeCell="C28" sqref="C28"/>
      <selection pane="bottomLeft" activeCell="C28" sqref="C28"/>
    </sheetView>
  </sheetViews>
  <sheetFormatPr defaultColWidth="11.421875" defaultRowHeight="12.75"/>
  <cols>
    <col min="1" max="1" width="14.421875" style="41" customWidth="1"/>
    <col min="2" max="2" width="59.28125" style="41" customWidth="1"/>
    <col min="3" max="3" width="23.28125" style="41" customWidth="1"/>
    <col min="4" max="16384" width="11.421875" style="41" customWidth="1"/>
  </cols>
  <sheetData>
    <row r="1" spans="1:3" s="4" customFormat="1" ht="30" customHeight="1">
      <c r="A1" s="5"/>
      <c r="B1" s="7"/>
      <c r="C1" s="42"/>
    </row>
    <row r="2" spans="1:3" s="11" customFormat="1" ht="42.75" customHeight="1">
      <c r="A2" s="8" t="s">
        <v>26</v>
      </c>
      <c r="B2" s="10"/>
      <c r="C2" s="43" t="s">
        <v>1</v>
      </c>
    </row>
    <row r="3" spans="1:3" s="11" customFormat="1" ht="12.75">
      <c r="A3" s="12"/>
      <c r="B3" s="14"/>
      <c r="C3" s="44">
        <f>DATEVER</f>
        <v>43515</v>
      </c>
    </row>
    <row r="4" spans="1:3" s="48" customFormat="1" ht="22.5" customHeight="1">
      <c r="A4" s="45" t="s">
        <v>27</v>
      </c>
      <c r="B4" s="46"/>
      <c r="C4" s="47"/>
    </row>
    <row r="5" spans="1:3" s="15" customFormat="1" ht="64.5" customHeight="1">
      <c r="A5" s="1366" t="s">
        <v>28</v>
      </c>
      <c r="B5" s="1366"/>
      <c r="C5" s="1366"/>
    </row>
    <row r="6" spans="1:3" s="15" customFormat="1" ht="13.5" customHeight="1">
      <c r="A6" s="1366"/>
      <c r="B6" s="1366"/>
      <c r="C6" s="1366"/>
    </row>
    <row r="7" spans="1:3" s="15" customFormat="1" ht="12.75">
      <c r="A7" s="49" t="s">
        <v>29</v>
      </c>
      <c r="B7" s="50" t="s">
        <v>30</v>
      </c>
      <c r="C7" s="51" t="s">
        <v>31</v>
      </c>
    </row>
    <row r="8" spans="1:3" s="55" customFormat="1" ht="49.5" customHeight="1">
      <c r="A8" s="52" t="s">
        <v>1</v>
      </c>
      <c r="B8" s="53" t="s">
        <v>0</v>
      </c>
      <c r="C8" s="54" t="s">
        <v>32</v>
      </c>
    </row>
    <row r="9" spans="1:3" s="55" customFormat="1" ht="88.5" customHeight="1">
      <c r="A9" s="56" t="s">
        <v>33</v>
      </c>
      <c r="B9" s="57" t="s">
        <v>34</v>
      </c>
      <c r="C9" s="58" t="s">
        <v>35</v>
      </c>
    </row>
    <row r="10" spans="1:3" s="55" customFormat="1" ht="53.25" customHeight="1">
      <c r="A10" s="52"/>
      <c r="B10" s="59" t="s">
        <v>36</v>
      </c>
      <c r="C10" s="54"/>
    </row>
    <row r="11" spans="1:3" s="63" customFormat="1" ht="93.75" customHeight="1">
      <c r="A11" s="60" t="s">
        <v>37</v>
      </c>
      <c r="B11" s="61" t="s">
        <v>38</v>
      </c>
      <c r="C11" s="62" t="s">
        <v>39</v>
      </c>
    </row>
    <row r="12" spans="1:3" s="55" customFormat="1" ht="69" customHeight="1">
      <c r="A12" s="52" t="s">
        <v>40</v>
      </c>
      <c r="B12" s="53" t="s">
        <v>41</v>
      </c>
      <c r="C12" s="54" t="s">
        <v>42</v>
      </c>
    </row>
    <row r="13" spans="1:3" s="55" customFormat="1" ht="66.75" customHeight="1">
      <c r="A13" s="52" t="s">
        <v>43</v>
      </c>
      <c r="B13" s="53" t="s">
        <v>44</v>
      </c>
      <c r="C13" s="54" t="s">
        <v>42</v>
      </c>
    </row>
    <row r="14" spans="1:3" s="55" customFormat="1" ht="49.5" customHeight="1">
      <c r="A14" s="52" t="s">
        <v>45</v>
      </c>
      <c r="B14" s="53" t="s">
        <v>46</v>
      </c>
      <c r="C14" s="54" t="s">
        <v>47</v>
      </c>
    </row>
    <row r="15" spans="1:3" s="55" customFormat="1" ht="75" customHeight="1">
      <c r="A15" s="52" t="s">
        <v>48</v>
      </c>
      <c r="B15" s="53" t="s">
        <v>49</v>
      </c>
      <c r="C15" s="54" t="s">
        <v>50</v>
      </c>
    </row>
    <row r="16" spans="1:3" s="55" customFormat="1" ht="125.25" customHeight="1">
      <c r="A16" s="56" t="s">
        <v>51</v>
      </c>
      <c r="B16" s="57" t="s">
        <v>52</v>
      </c>
      <c r="C16" s="58" t="s">
        <v>53</v>
      </c>
    </row>
    <row r="17" spans="1:3" s="55" customFormat="1" ht="40.5" customHeight="1">
      <c r="A17" s="52"/>
      <c r="B17" s="64" t="s">
        <v>54</v>
      </c>
      <c r="C17" s="54"/>
    </row>
    <row r="18" spans="1:3" s="55" customFormat="1" ht="48.75" customHeight="1">
      <c r="A18" s="52" t="s">
        <v>55</v>
      </c>
      <c r="B18" s="53" t="s">
        <v>56</v>
      </c>
      <c r="C18" s="54" t="s">
        <v>57</v>
      </c>
    </row>
    <row r="19" spans="1:3" s="55" customFormat="1" ht="39.75" customHeight="1">
      <c r="A19" s="52" t="s">
        <v>58</v>
      </c>
      <c r="B19" s="53" t="s">
        <v>59</v>
      </c>
      <c r="C19" s="54" t="s">
        <v>32</v>
      </c>
    </row>
    <row r="20" spans="1:3" s="55" customFormat="1" ht="40.5" customHeight="1">
      <c r="A20" s="52" t="s">
        <v>60</v>
      </c>
      <c r="B20" s="53" t="s">
        <v>61</v>
      </c>
      <c r="C20" s="54" t="s">
        <v>32</v>
      </c>
    </row>
    <row r="21" spans="1:3" s="55" customFormat="1" ht="56.25" customHeight="1">
      <c r="A21" s="52" t="s">
        <v>62</v>
      </c>
      <c r="B21" s="53" t="s">
        <v>63</v>
      </c>
      <c r="C21" s="54" t="s">
        <v>64</v>
      </c>
    </row>
    <row r="22" spans="1:3" ht="12">
      <c r="A22" s="65" t="s">
        <v>65</v>
      </c>
      <c r="B22" s="66" t="s">
        <v>66</v>
      </c>
      <c r="C22" s="66"/>
    </row>
  </sheetData>
  <sheetProtection password="BF82" sheet="1" selectLockedCells="1" selectUnlockedCells="1"/>
  <mergeCells count="2">
    <mergeCell ref="A5:C5"/>
    <mergeCell ref="A6:C6"/>
  </mergeCells>
  <printOptions/>
  <pageMargins left="0.39375" right="0.39375" top="0.39375" bottom="0.7875" header="0.5118055555555555" footer="0.39375"/>
  <pageSetup horizontalDpi="300" verticalDpi="300" orientation="portrait" paperSize="9"/>
  <headerFooter alignWithMargins="0">
    <oddFooter>&amp;C&amp;8&amp;F - Feuille &amp;A - page &amp;P /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IV128"/>
  <sheetViews>
    <sheetView zoomScalePageLayoutView="0" workbookViewId="0" topLeftCell="A1">
      <selection activeCell="C19" sqref="C19"/>
    </sheetView>
  </sheetViews>
  <sheetFormatPr defaultColWidth="11.421875" defaultRowHeight="13.5" customHeight="1"/>
  <cols>
    <col min="1" max="1" width="43.421875" style="67" customWidth="1"/>
    <col min="2" max="2" width="13.57421875" style="68" customWidth="1"/>
    <col min="3" max="3" width="18.7109375" style="1" customWidth="1"/>
    <col min="4" max="4" width="11.421875" style="69" customWidth="1"/>
    <col min="5" max="6" width="37.28125" style="70" customWidth="1"/>
    <col min="7" max="16384" width="11.421875" style="4" customWidth="1"/>
  </cols>
  <sheetData>
    <row r="1" spans="1:6" ht="30" customHeight="1">
      <c r="A1" s="5"/>
      <c r="F1" s="71"/>
    </row>
    <row r="2" spans="1:6" s="15" customFormat="1" ht="42.75" customHeight="1">
      <c r="A2" s="8" t="s">
        <v>67</v>
      </c>
      <c r="B2" s="72"/>
      <c r="C2" s="1"/>
      <c r="D2" s="69"/>
      <c r="E2" s="73" t="s">
        <v>68</v>
      </c>
      <c r="F2" s="74"/>
    </row>
    <row r="3" spans="1:6" s="15" customFormat="1" ht="14.25" customHeight="1">
      <c r="A3" s="41"/>
      <c r="B3" s="72"/>
      <c r="C3" s="1"/>
      <c r="D3" s="69"/>
      <c r="E3" s="44">
        <f>DATEVER</f>
        <v>43515</v>
      </c>
      <c r="F3" s="75"/>
    </row>
    <row r="4" spans="1:6" s="15" customFormat="1" ht="14.25" customHeight="1">
      <c r="A4" s="76" t="s">
        <v>69</v>
      </c>
      <c r="B4" s="72"/>
      <c r="C4" s="1"/>
      <c r="D4" s="69"/>
      <c r="E4" s="70"/>
      <c r="F4" s="71"/>
    </row>
    <row r="5" spans="1:6" s="15" customFormat="1" ht="14.25" customHeight="1">
      <c r="A5" s="77"/>
      <c r="B5" s="72"/>
      <c r="C5" s="1"/>
      <c r="D5" s="69"/>
      <c r="E5" s="70"/>
      <c r="F5" s="71"/>
    </row>
    <row r="6" spans="1:6" s="15" customFormat="1" ht="5.25" customHeight="1">
      <c r="A6" s="41"/>
      <c r="B6" s="72"/>
      <c r="C6" s="1"/>
      <c r="D6" s="69"/>
      <c r="E6" s="70"/>
      <c r="F6" s="71"/>
    </row>
    <row r="7" ht="5.25" customHeight="1">
      <c r="F7" s="71"/>
    </row>
    <row r="8" spans="1:6" ht="16.5" customHeight="1">
      <c r="A8" s="78" t="s">
        <v>70</v>
      </c>
      <c r="B8" s="79"/>
      <c r="C8" s="80"/>
      <c r="D8" s="81"/>
      <c r="E8" s="82"/>
      <c r="F8" s="83"/>
    </row>
    <row r="9" spans="1:6" ht="13.5" customHeight="1">
      <c r="A9" s="84" t="s">
        <v>71</v>
      </c>
      <c r="B9" s="85" t="s">
        <v>72</v>
      </c>
      <c r="C9" s="86"/>
      <c r="D9" s="87"/>
      <c r="E9" s="88" t="s">
        <v>73</v>
      </c>
      <c r="F9" s="89" t="s">
        <v>74</v>
      </c>
    </row>
    <row r="10" spans="1:6" ht="13.5" customHeight="1">
      <c r="A10" s="60" t="s">
        <v>75</v>
      </c>
      <c r="B10" s="90" t="s">
        <v>76</v>
      </c>
      <c r="C10" s="91"/>
      <c r="D10" s="92"/>
      <c r="E10" s="93" t="s">
        <v>77</v>
      </c>
      <c r="F10" s="94" t="s">
        <v>78</v>
      </c>
    </row>
    <row r="11" spans="1:7" ht="13.5" customHeight="1">
      <c r="A11" s="60" t="s">
        <v>79</v>
      </c>
      <c r="B11" s="90" t="s">
        <v>80</v>
      </c>
      <c r="C11" s="91"/>
      <c r="D11" s="92"/>
      <c r="E11" s="93" t="s">
        <v>81</v>
      </c>
      <c r="F11" s="94" t="s">
        <v>78</v>
      </c>
      <c r="G11" s="89"/>
    </row>
    <row r="12" spans="1:6" ht="13.5" customHeight="1">
      <c r="A12" s="60" t="s">
        <v>82</v>
      </c>
      <c r="B12" s="90" t="s">
        <v>83</v>
      </c>
      <c r="C12" s="91"/>
      <c r="D12" s="92"/>
      <c r="E12" s="93" t="s">
        <v>84</v>
      </c>
      <c r="F12" s="94" t="s">
        <v>78</v>
      </c>
    </row>
    <row r="13" spans="1:6" ht="13.5" customHeight="1">
      <c r="A13" s="60" t="s">
        <v>85</v>
      </c>
      <c r="B13" s="90" t="s">
        <v>86</v>
      </c>
      <c r="C13" s="91"/>
      <c r="D13" s="92"/>
      <c r="E13" s="93" t="s">
        <v>87</v>
      </c>
      <c r="F13" s="94" t="s">
        <v>78</v>
      </c>
    </row>
    <row r="14" spans="1:6" ht="13.5" customHeight="1">
      <c r="A14" s="60" t="s">
        <v>88</v>
      </c>
      <c r="B14" s="90" t="s">
        <v>89</v>
      </c>
      <c r="C14" s="95"/>
      <c r="D14" s="92"/>
      <c r="E14" s="93" t="s">
        <v>90</v>
      </c>
      <c r="F14" s="94" t="s">
        <v>78</v>
      </c>
    </row>
    <row r="15" spans="1:6" ht="13.5" customHeight="1">
      <c r="A15" s="96" t="s">
        <v>91</v>
      </c>
      <c r="B15" s="97" t="s">
        <v>92</v>
      </c>
      <c r="C15" s="98"/>
      <c r="D15" s="99"/>
      <c r="E15" s="100" t="s">
        <v>93</v>
      </c>
      <c r="F15" s="89" t="s">
        <v>74</v>
      </c>
    </row>
    <row r="16" spans="1:256" s="106" customFormat="1" ht="13.5" customHeight="1" thickBot="1">
      <c r="A16" s="101" t="s">
        <v>94</v>
      </c>
      <c r="B16" s="102" t="s">
        <v>95</v>
      </c>
      <c r="C16" s="103"/>
      <c r="D16" s="104" t="s">
        <v>96</v>
      </c>
      <c r="E16" s="105" t="s">
        <v>31</v>
      </c>
      <c r="F16" s="105" t="s">
        <v>97</v>
      </c>
      <c r="EE16" s="107"/>
      <c r="EF16" s="107"/>
      <c r="EG16" s="107"/>
      <c r="EH16" s="107"/>
      <c r="EI16" s="107"/>
      <c r="EJ16" s="107"/>
      <c r="EK16" s="107"/>
      <c r="EL16" s="107"/>
      <c r="EM16" s="107"/>
      <c r="EN16" s="107"/>
      <c r="EO16" s="107"/>
      <c r="EP16" s="107"/>
      <c r="EQ16" s="107"/>
      <c r="ER16" s="107"/>
      <c r="ES16" s="107"/>
      <c r="ET16" s="107"/>
      <c r="EU16" s="107"/>
      <c r="EV16" s="107"/>
      <c r="EW16" s="107"/>
      <c r="EX16" s="107"/>
      <c r="EY16" s="107"/>
      <c r="EZ16" s="107"/>
      <c r="FA16" s="107"/>
      <c r="FB16" s="107"/>
      <c r="FC16" s="107"/>
      <c r="FD16" s="107"/>
      <c r="FE16" s="107"/>
      <c r="FF16" s="107"/>
      <c r="FG16" s="107"/>
      <c r="FH16" s="107"/>
      <c r="FI16" s="107"/>
      <c r="FJ16" s="107"/>
      <c r="FK16" s="107"/>
      <c r="FL16" s="107"/>
      <c r="FM16" s="107"/>
      <c r="FN16" s="107"/>
      <c r="FO16" s="107"/>
      <c r="FP16" s="107"/>
      <c r="FQ16" s="107"/>
      <c r="FR16" s="107"/>
      <c r="FS16" s="107"/>
      <c r="FT16" s="107"/>
      <c r="FU16" s="107"/>
      <c r="FV16" s="107"/>
      <c r="FW16" s="107"/>
      <c r="FX16" s="107"/>
      <c r="FY16" s="107"/>
      <c r="FZ16" s="107"/>
      <c r="GA16" s="107"/>
      <c r="GB16" s="107"/>
      <c r="GC16" s="107"/>
      <c r="GD16" s="107"/>
      <c r="GE16" s="107"/>
      <c r="GF16" s="107"/>
      <c r="GG16" s="107"/>
      <c r="GH16" s="107"/>
      <c r="GI16" s="107"/>
      <c r="GJ16" s="107"/>
      <c r="GK16" s="107"/>
      <c r="GL16" s="107"/>
      <c r="GM16" s="107"/>
      <c r="GN16" s="107"/>
      <c r="GO16" s="107"/>
      <c r="GP16" s="107"/>
      <c r="GQ16" s="107"/>
      <c r="GR16" s="107"/>
      <c r="GS16" s="107"/>
      <c r="GT16" s="107"/>
      <c r="GU16" s="107"/>
      <c r="GV16" s="107"/>
      <c r="GW16" s="107"/>
      <c r="GX16" s="107"/>
      <c r="GY16" s="107"/>
      <c r="GZ16" s="107"/>
      <c r="HA16" s="107"/>
      <c r="HB16" s="107"/>
      <c r="HC16" s="107"/>
      <c r="HD16" s="107"/>
      <c r="HE16" s="107"/>
      <c r="HF16" s="107"/>
      <c r="HG16" s="107"/>
      <c r="HH16" s="107"/>
      <c r="HI16" s="107"/>
      <c r="HJ16" s="107"/>
      <c r="HK16" s="107"/>
      <c r="HL16" s="107"/>
      <c r="HM16" s="107"/>
      <c r="HN16" s="107"/>
      <c r="HO16" s="107"/>
      <c r="HP16" s="107"/>
      <c r="HQ16" s="107"/>
      <c r="HR16" s="107"/>
      <c r="HS16" s="107"/>
      <c r="HT16" s="107"/>
      <c r="HU16" s="107"/>
      <c r="HV16" s="107"/>
      <c r="HW16" s="107"/>
      <c r="HX16" s="107"/>
      <c r="HY16" s="107"/>
      <c r="HZ16" s="107"/>
      <c r="IA16" s="107"/>
      <c r="IB16" s="107"/>
      <c r="IC16" s="107"/>
      <c r="ID16" s="107"/>
      <c r="IE16" s="107"/>
      <c r="IF16" s="107"/>
      <c r="IG16" s="107"/>
      <c r="IH16" s="107"/>
      <c r="II16" s="107"/>
      <c r="IJ16" s="107"/>
      <c r="IK16" s="107"/>
      <c r="IL16" s="107"/>
      <c r="IM16" s="107"/>
      <c r="IN16" s="107"/>
      <c r="IO16" s="107"/>
      <c r="IP16" s="107"/>
      <c r="IQ16" s="107"/>
      <c r="IR16" s="107"/>
      <c r="IS16" s="107"/>
      <c r="IT16" s="107"/>
      <c r="IU16" s="107"/>
      <c r="IV16" s="107"/>
    </row>
    <row r="17" spans="1:256" s="111" customFormat="1" ht="26.25" customHeight="1" thickBot="1" thickTop="1">
      <c r="A17" s="108" t="s">
        <v>98</v>
      </c>
      <c r="B17" s="109" t="s">
        <v>99</v>
      </c>
      <c r="C17" s="80"/>
      <c r="D17" s="110"/>
      <c r="E17" s="110"/>
      <c r="F17" s="110" t="s">
        <v>100</v>
      </c>
      <c r="DK17" s="112"/>
      <c r="EC17" s="113"/>
      <c r="ED17" s="113"/>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4"/>
      <c r="FH17" s="4"/>
      <c r="FI17" s="4"/>
      <c r="FJ17" s="4"/>
      <c r="FK17" s="4"/>
      <c r="FL17" s="4"/>
      <c r="FM17" s="4"/>
      <c r="FN17" s="4"/>
      <c r="FO17" s="4"/>
      <c r="FP17" s="4"/>
      <c r="FQ17" s="4"/>
      <c r="FR17" s="4"/>
      <c r="FS17" s="4"/>
      <c r="FT17" s="4"/>
      <c r="FU17" s="4"/>
      <c r="FV17" s="4"/>
      <c r="FW17" s="4"/>
      <c r="FX17" s="4"/>
      <c r="FY17" s="4"/>
      <c r="FZ17" s="4"/>
      <c r="GA17" s="4"/>
      <c r="GB17" s="4"/>
      <c r="GC17" s="4"/>
      <c r="GD17" s="4"/>
      <c r="GE17" s="4"/>
      <c r="GF17" s="4"/>
      <c r="GG17" s="4"/>
      <c r="GH17" s="4"/>
      <c r="GI17" s="4"/>
      <c r="GJ17" s="4"/>
      <c r="GK17" s="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4"/>
      <c r="IJ17" s="4"/>
      <c r="IK17" s="4"/>
      <c r="IL17" s="4"/>
      <c r="IM17" s="4"/>
      <c r="IN17" s="4"/>
      <c r="IO17" s="4"/>
      <c r="IP17" s="4"/>
      <c r="IQ17" s="4"/>
      <c r="IR17" s="4"/>
      <c r="IS17" s="4"/>
      <c r="IT17" s="4"/>
      <c r="IU17" s="4"/>
      <c r="IV17" s="4"/>
    </row>
    <row r="18" spans="1:6" ht="13.5" customHeight="1" thickTop="1">
      <c r="A18" s="114" t="s">
        <v>101</v>
      </c>
      <c r="B18" s="115"/>
      <c r="C18" s="116"/>
      <c r="D18" s="117"/>
      <c r="E18" s="118" t="s">
        <v>102</v>
      </c>
      <c r="F18" s="119"/>
    </row>
    <row r="19" spans="1:6" ht="14.25" customHeight="1">
      <c r="A19" s="120" t="s">
        <v>103</v>
      </c>
      <c r="B19" s="121" t="s">
        <v>104</v>
      </c>
      <c r="C19" s="1020">
        <v>2019</v>
      </c>
      <c r="D19" s="122" t="s">
        <v>105</v>
      </c>
      <c r="E19" s="123"/>
      <c r="F19" s="89" t="s">
        <v>74</v>
      </c>
    </row>
    <row r="20" spans="1:6" ht="26.25" customHeight="1">
      <c r="A20" s="124" t="s">
        <v>106</v>
      </c>
      <c r="B20" s="125" t="s">
        <v>107</v>
      </c>
      <c r="C20" s="126"/>
      <c r="D20" s="127" t="s">
        <v>108</v>
      </c>
      <c r="E20" s="128" t="s">
        <v>109</v>
      </c>
      <c r="F20" s="129" t="s">
        <v>110</v>
      </c>
    </row>
    <row r="21" spans="1:6" ht="14.25" customHeight="1">
      <c r="A21" s="130" t="s">
        <v>111</v>
      </c>
      <c r="B21" s="131" t="s">
        <v>112</v>
      </c>
      <c r="C21" s="1364"/>
      <c r="D21" s="133" t="s">
        <v>113</v>
      </c>
      <c r="E21" s="134"/>
      <c r="F21" s="135"/>
    </row>
    <row r="22" spans="1:6" ht="14.25" customHeight="1">
      <c r="A22" s="124" t="s">
        <v>114</v>
      </c>
      <c r="B22" s="136" t="s">
        <v>115</v>
      </c>
      <c r="C22" s="1365"/>
      <c r="D22" s="127"/>
      <c r="E22" s="128" t="s">
        <v>116</v>
      </c>
      <c r="F22" s="129"/>
    </row>
    <row r="23" spans="1:6" ht="14.25" customHeight="1">
      <c r="A23" s="130" t="s">
        <v>117</v>
      </c>
      <c r="B23" s="131" t="s">
        <v>118</v>
      </c>
      <c r="C23" s="1364"/>
      <c r="D23" s="133"/>
      <c r="E23" s="134"/>
      <c r="F23" s="138"/>
    </row>
    <row r="24" spans="1:6" ht="14.25" customHeight="1">
      <c r="A24" s="139" t="s">
        <v>119</v>
      </c>
      <c r="B24" s="140" t="s">
        <v>120</v>
      </c>
      <c r="C24" s="141"/>
      <c r="D24" s="142" t="s">
        <v>121</v>
      </c>
      <c r="E24" s="1367" t="s">
        <v>122</v>
      </c>
      <c r="F24" s="1367"/>
    </row>
    <row r="25" spans="1:6" ht="12.75" customHeight="1">
      <c r="A25" s="124" t="s">
        <v>123</v>
      </c>
      <c r="B25" s="136" t="s">
        <v>124</v>
      </c>
      <c r="C25" s="144"/>
      <c r="D25" s="145" t="s">
        <v>121</v>
      </c>
      <c r="E25" s="128"/>
      <c r="F25" s="129"/>
    </row>
    <row r="26" spans="1:6" ht="12.75" customHeight="1">
      <c r="A26" s="124" t="s">
        <v>125</v>
      </c>
      <c r="B26" s="136" t="s">
        <v>126</v>
      </c>
      <c r="C26" s="144"/>
      <c r="D26" s="145" t="s">
        <v>121</v>
      </c>
      <c r="E26" s="128"/>
      <c r="F26" s="129"/>
    </row>
    <row r="27" spans="1:6" ht="12.75" customHeight="1">
      <c r="A27" s="124" t="s">
        <v>127</v>
      </c>
      <c r="B27" s="136" t="s">
        <v>128</v>
      </c>
      <c r="C27" s="144"/>
      <c r="D27" s="145" t="s">
        <v>121</v>
      </c>
      <c r="E27" s="128"/>
      <c r="F27" s="129"/>
    </row>
    <row r="28" spans="1:6" ht="12.75" customHeight="1">
      <c r="A28" s="124" t="s">
        <v>129</v>
      </c>
      <c r="B28" s="136" t="s">
        <v>130</v>
      </c>
      <c r="C28" s="146"/>
      <c r="D28" s="145" t="s">
        <v>121</v>
      </c>
      <c r="E28" s="128"/>
      <c r="F28" s="129"/>
    </row>
    <row r="29" spans="1:6" ht="13.5" customHeight="1">
      <c r="A29" s="124" t="s">
        <v>131</v>
      </c>
      <c r="B29" s="136" t="s">
        <v>132</v>
      </c>
      <c r="C29" s="147"/>
      <c r="D29" s="145" t="s">
        <v>121</v>
      </c>
      <c r="E29" s="128"/>
      <c r="F29" s="129"/>
    </row>
    <row r="30" spans="1:6" ht="14.25" customHeight="1">
      <c r="A30" s="139" t="s">
        <v>133</v>
      </c>
      <c r="B30" s="140" t="s">
        <v>134</v>
      </c>
      <c r="C30" s="148"/>
      <c r="D30" s="142" t="s">
        <v>135</v>
      </c>
      <c r="E30" s="143" t="s">
        <v>136</v>
      </c>
      <c r="F30" s="149">
        <f>IF(C30&lt;&gt;SH+CF+CV+CP+CS,"Attention affectation incomplète","")</f>
      </c>
    </row>
    <row r="31" spans="1:6" ht="14.25" customHeight="1">
      <c r="A31" s="150" t="s">
        <v>137</v>
      </c>
      <c r="B31" s="151" t="s">
        <v>138</v>
      </c>
      <c r="C31" s="152"/>
      <c r="D31" s="92" t="s">
        <v>135</v>
      </c>
      <c r="E31" s="153"/>
      <c r="F31" s="154"/>
    </row>
    <row r="32" spans="1:6" ht="14.25" customHeight="1">
      <c r="A32" s="155" t="s">
        <v>139</v>
      </c>
      <c r="B32" s="151" t="s">
        <v>140</v>
      </c>
      <c r="C32" s="152"/>
      <c r="D32" s="92" t="s">
        <v>135</v>
      </c>
      <c r="E32" s="156"/>
      <c r="F32" s="157"/>
    </row>
    <row r="33" spans="1:6" ht="14.25" customHeight="1">
      <c r="A33" s="150" t="s">
        <v>141</v>
      </c>
      <c r="B33" s="151" t="s">
        <v>142</v>
      </c>
      <c r="C33" s="152"/>
      <c r="D33" s="158" t="str">
        <f>IF(SHCAP&gt;SH,"Attention SHBL&gt;SH","ha")</f>
        <v>ha</v>
      </c>
      <c r="E33" s="153" t="s">
        <v>143</v>
      </c>
      <c r="F33" s="154"/>
    </row>
    <row r="34" spans="1:6" ht="12.75" customHeight="1">
      <c r="A34" s="155" t="s">
        <v>144</v>
      </c>
      <c r="B34" s="151" t="s">
        <v>145</v>
      </c>
      <c r="C34" s="152"/>
      <c r="D34" s="92" t="s">
        <v>135</v>
      </c>
      <c r="E34" s="153"/>
      <c r="F34" s="154"/>
    </row>
    <row r="35" spans="1:6" ht="12.75" customHeight="1">
      <c r="A35" s="150" t="s">
        <v>146</v>
      </c>
      <c r="B35" s="151" t="s">
        <v>147</v>
      </c>
      <c r="C35" s="152"/>
      <c r="D35" s="158" t="str">
        <f>IF(CFCAP&gt;CF,"Attention CFBL&gt;CF","ha")</f>
        <v>ha</v>
      </c>
      <c r="E35" s="153" t="s">
        <v>143</v>
      </c>
      <c r="F35" s="154"/>
    </row>
    <row r="36" spans="1:6" ht="14.25" customHeight="1">
      <c r="A36" s="155" t="s">
        <v>148</v>
      </c>
      <c r="B36" s="151" t="s">
        <v>149</v>
      </c>
      <c r="C36" s="152"/>
      <c r="D36" s="92" t="s">
        <v>135</v>
      </c>
      <c r="E36" s="153" t="s">
        <v>150</v>
      </c>
      <c r="F36" s="154"/>
    </row>
    <row r="37" spans="1:6" ht="14.25" customHeight="1">
      <c r="A37" s="150" t="s">
        <v>151</v>
      </c>
      <c r="B37" s="151" t="s">
        <v>152</v>
      </c>
      <c r="C37" s="152"/>
      <c r="D37" s="159" t="str">
        <f>IF(CVCAP&gt;CV,"Attention CVBL&gt;CV","ha")</f>
        <v>ha</v>
      </c>
      <c r="E37" s="153"/>
      <c r="F37" s="154"/>
    </row>
    <row r="38" spans="1:6" ht="14.25" customHeight="1">
      <c r="A38" s="160" t="s">
        <v>153</v>
      </c>
      <c r="B38" s="136" t="s">
        <v>154</v>
      </c>
      <c r="C38" s="152"/>
      <c r="D38" s="159" t="str">
        <f>IF(CVCAP&gt;CV,"Attention CVBL&gt;CV","ha")</f>
        <v>ha</v>
      </c>
      <c r="E38" s="128"/>
      <c r="F38" s="129"/>
    </row>
    <row r="39" spans="1:6" ht="14.25" customHeight="1">
      <c r="A39" s="161" t="s">
        <v>155</v>
      </c>
      <c r="B39" s="162" t="s">
        <v>156</v>
      </c>
      <c r="C39" s="163"/>
      <c r="D39" s="164" t="str">
        <f>IF(CVCAP&gt;CV,"Attention CVBL&gt;CV","ha")</f>
        <v>ha</v>
      </c>
      <c r="E39" s="165"/>
      <c r="F39" s="166"/>
    </row>
    <row r="40" spans="1:6" ht="24" customHeight="1">
      <c r="A40" s="124" t="s">
        <v>157</v>
      </c>
      <c r="B40" s="136" t="s">
        <v>158</v>
      </c>
      <c r="C40" s="167"/>
      <c r="D40" s="127" t="s">
        <v>159</v>
      </c>
      <c r="E40" s="128" t="s">
        <v>160</v>
      </c>
      <c r="F40" s="129" t="s">
        <v>161</v>
      </c>
    </row>
    <row r="41" spans="1:6" ht="16.5" customHeight="1">
      <c r="A41" s="124" t="s">
        <v>162</v>
      </c>
      <c r="B41" s="136" t="s">
        <v>163</v>
      </c>
      <c r="C41" s="144"/>
      <c r="D41" s="159" t="s">
        <v>159</v>
      </c>
      <c r="E41" s="168" t="s">
        <v>164</v>
      </c>
      <c r="F41" s="169">
        <v>6040</v>
      </c>
    </row>
    <row r="42" spans="1:6" ht="14.25" customHeight="1">
      <c r="A42" s="170" t="s">
        <v>165</v>
      </c>
      <c r="B42" s="162" t="s">
        <v>166</v>
      </c>
      <c r="C42" s="147"/>
      <c r="D42" s="133" t="s">
        <v>159</v>
      </c>
      <c r="E42" s="165" t="s">
        <v>167</v>
      </c>
      <c r="F42" s="166"/>
    </row>
    <row r="43" spans="1:6" ht="13.5" customHeight="1">
      <c r="A43" s="171" t="s">
        <v>168</v>
      </c>
      <c r="B43" s="172" t="s">
        <v>169</v>
      </c>
      <c r="C43" s="167"/>
      <c r="D43" s="173" t="s">
        <v>159</v>
      </c>
      <c r="E43" s="174"/>
      <c r="F43" s="175"/>
    </row>
    <row r="44" spans="1:6" ht="12.75" customHeight="1">
      <c r="A44" s="155" t="s">
        <v>170</v>
      </c>
      <c r="B44" s="151" t="s">
        <v>171</v>
      </c>
      <c r="C44" s="144"/>
      <c r="D44" s="159" t="s">
        <v>159</v>
      </c>
      <c r="E44" s="153"/>
      <c r="F44" s="154"/>
    </row>
    <row r="45" spans="1:6" ht="12.75" customHeight="1">
      <c r="A45" s="155" t="s">
        <v>172</v>
      </c>
      <c r="B45" s="151" t="s">
        <v>173</v>
      </c>
      <c r="C45" s="144"/>
      <c r="D45" s="159" t="s">
        <v>159</v>
      </c>
      <c r="E45" s="153"/>
      <c r="F45" s="154"/>
    </row>
    <row r="46" spans="1:6" ht="12.75" customHeight="1">
      <c r="A46" s="155" t="s">
        <v>174</v>
      </c>
      <c r="B46" s="151" t="s">
        <v>175</v>
      </c>
      <c r="C46" s="144"/>
      <c r="D46" s="159" t="s">
        <v>159</v>
      </c>
      <c r="E46" s="153"/>
      <c r="F46" s="154"/>
    </row>
    <row r="47" spans="1:6" ht="13.5" customHeight="1">
      <c r="A47" s="170" t="s">
        <v>176</v>
      </c>
      <c r="B47" s="131" t="s">
        <v>177</v>
      </c>
      <c r="C47" s="147"/>
      <c r="D47" s="133" t="s">
        <v>159</v>
      </c>
      <c r="E47" s="134"/>
      <c r="F47" s="138"/>
    </row>
    <row r="48" spans="1:6" ht="13.5" customHeight="1">
      <c r="A48" s="176" t="s">
        <v>178</v>
      </c>
      <c r="B48" s="140" t="s">
        <v>179</v>
      </c>
      <c r="C48" s="141"/>
      <c r="D48" s="177" t="s">
        <v>159</v>
      </c>
      <c r="E48" s="143" t="s">
        <v>180</v>
      </c>
      <c r="F48" s="178" t="s">
        <v>181</v>
      </c>
    </row>
    <row r="49" spans="1:6" ht="23.25" customHeight="1">
      <c r="A49" s="179" t="s">
        <v>182</v>
      </c>
      <c r="B49" s="151" t="s">
        <v>183</v>
      </c>
      <c r="C49" s="144"/>
      <c r="D49" s="159" t="s">
        <v>159</v>
      </c>
      <c r="E49" s="153" t="s">
        <v>184</v>
      </c>
      <c r="F49" s="154" t="s">
        <v>181</v>
      </c>
    </row>
    <row r="50" spans="1:6" ht="14.25" customHeight="1">
      <c r="A50" s="179" t="s">
        <v>185</v>
      </c>
      <c r="B50" s="151" t="s">
        <v>186</v>
      </c>
      <c r="C50" s="144"/>
      <c r="D50" s="159" t="s">
        <v>159</v>
      </c>
      <c r="E50" s="153" t="s">
        <v>187</v>
      </c>
      <c r="F50" s="154"/>
    </row>
    <row r="51" spans="1:6" ht="12.75" customHeight="1">
      <c r="A51" s="179" t="s">
        <v>188</v>
      </c>
      <c r="B51" s="180" t="s">
        <v>189</v>
      </c>
      <c r="C51" s="144"/>
      <c r="D51" s="159" t="s">
        <v>159</v>
      </c>
      <c r="E51" s="153" t="s">
        <v>187</v>
      </c>
      <c r="F51" s="154"/>
    </row>
    <row r="52" spans="1:6" ht="12.75" customHeight="1">
      <c r="A52" s="179" t="s">
        <v>190</v>
      </c>
      <c r="B52" s="181" t="s">
        <v>191</v>
      </c>
      <c r="C52" s="182"/>
      <c r="D52" s="183"/>
      <c r="E52" s="184"/>
      <c r="F52" s="185"/>
    </row>
    <row r="53" spans="1:6" ht="14.25" customHeight="1">
      <c r="A53" s="186" t="s">
        <v>192</v>
      </c>
      <c r="B53" s="162" t="s">
        <v>193</v>
      </c>
      <c r="C53" s="187"/>
      <c r="D53" s="164" t="s">
        <v>159</v>
      </c>
      <c r="E53" s="165" t="s">
        <v>194</v>
      </c>
      <c r="F53" s="166" t="s">
        <v>195</v>
      </c>
    </row>
    <row r="54" spans="1:6" ht="13.5" customHeight="1">
      <c r="A54" s="124" t="s">
        <v>196</v>
      </c>
      <c r="B54" s="188" t="s">
        <v>197</v>
      </c>
      <c r="C54" s="189"/>
      <c r="D54" s="190" t="s">
        <v>159</v>
      </c>
      <c r="E54" s="168" t="s">
        <v>198</v>
      </c>
      <c r="F54" s="169">
        <v>745</v>
      </c>
    </row>
    <row r="55" spans="1:6" ht="14.25" customHeight="1">
      <c r="A55" s="155" t="s">
        <v>199</v>
      </c>
      <c r="B55" s="151" t="s">
        <v>200</v>
      </c>
      <c r="C55" s="191"/>
      <c r="D55" s="159" t="s">
        <v>159</v>
      </c>
      <c r="E55" s="153" t="s">
        <v>198</v>
      </c>
      <c r="F55" s="154">
        <v>745</v>
      </c>
    </row>
    <row r="56" spans="1:6" ht="14.25" customHeight="1">
      <c r="A56" s="155" t="s">
        <v>201</v>
      </c>
      <c r="B56" s="151" t="s">
        <v>202</v>
      </c>
      <c r="C56" s="152"/>
      <c r="D56" s="159" t="s">
        <v>159</v>
      </c>
      <c r="E56" s="153" t="s">
        <v>203</v>
      </c>
      <c r="F56" s="154">
        <v>745</v>
      </c>
    </row>
    <row r="57" spans="1:6" ht="12.75" customHeight="1">
      <c r="A57" s="192" t="s">
        <v>204</v>
      </c>
      <c r="B57" s="193" t="s">
        <v>205</v>
      </c>
      <c r="C57" s="167"/>
      <c r="D57" s="183" t="s">
        <v>159</v>
      </c>
      <c r="E57" s="184" t="s">
        <v>198</v>
      </c>
      <c r="F57" s="185">
        <v>745</v>
      </c>
    </row>
    <row r="58" spans="1:6" ht="14.25" customHeight="1">
      <c r="A58" s="155" t="s">
        <v>206</v>
      </c>
      <c r="B58" s="151" t="s">
        <v>207</v>
      </c>
      <c r="C58" s="144"/>
      <c r="D58" s="159" t="s">
        <v>159</v>
      </c>
      <c r="E58" s="153" t="s">
        <v>208</v>
      </c>
      <c r="F58" s="154">
        <v>745</v>
      </c>
    </row>
    <row r="59" spans="1:6" ht="12.75" customHeight="1">
      <c r="A59" s="155" t="s">
        <v>209</v>
      </c>
      <c r="B59" s="151" t="s">
        <v>209</v>
      </c>
      <c r="C59" s="144"/>
      <c r="D59" s="159" t="s">
        <v>159</v>
      </c>
      <c r="E59" s="153"/>
      <c r="F59" s="154">
        <v>745</v>
      </c>
    </row>
    <row r="60" spans="1:6" ht="12.75" customHeight="1">
      <c r="A60" s="155" t="s">
        <v>210</v>
      </c>
      <c r="B60" s="151" t="s">
        <v>211</v>
      </c>
      <c r="C60" s="144"/>
      <c r="D60" s="159" t="s">
        <v>159</v>
      </c>
      <c r="E60" s="153"/>
      <c r="F60" s="154">
        <v>745</v>
      </c>
    </row>
    <row r="61" spans="1:6" ht="14.25" customHeight="1">
      <c r="A61" s="155" t="s">
        <v>212</v>
      </c>
      <c r="B61" s="151" t="s">
        <v>213</v>
      </c>
      <c r="C61" s="144"/>
      <c r="D61" s="159" t="s">
        <v>159</v>
      </c>
      <c r="E61" s="153" t="s">
        <v>214</v>
      </c>
      <c r="F61" s="154"/>
    </row>
    <row r="62" spans="1:6" ht="12.75" customHeight="1">
      <c r="A62" s="155" t="s">
        <v>215</v>
      </c>
      <c r="B62" s="151" t="s">
        <v>216</v>
      </c>
      <c r="C62" s="144"/>
      <c r="D62" s="159" t="s">
        <v>159</v>
      </c>
      <c r="E62" s="153" t="s">
        <v>217</v>
      </c>
      <c r="F62" s="154"/>
    </row>
    <row r="63" spans="1:6" ht="14.25" customHeight="1">
      <c r="A63" s="155"/>
      <c r="B63" s="151"/>
      <c r="C63" s="144"/>
      <c r="D63" s="159" t="s">
        <v>159</v>
      </c>
      <c r="E63" s="128"/>
      <c r="F63" s="129">
        <v>740</v>
      </c>
    </row>
    <row r="64" spans="1:6" ht="13.5" customHeight="1">
      <c r="A64" s="194" t="s">
        <v>218</v>
      </c>
      <c r="B64" s="195" t="s">
        <v>219</v>
      </c>
      <c r="C64" s="147"/>
      <c r="D64" s="133" t="s">
        <v>159</v>
      </c>
      <c r="E64" s="165"/>
      <c r="F64" s="166"/>
    </row>
    <row r="65" spans="1:6" ht="14.25" customHeight="1">
      <c r="A65" s="124" t="s">
        <v>220</v>
      </c>
      <c r="B65" s="136" t="s">
        <v>221</v>
      </c>
      <c r="C65" s="141"/>
      <c r="D65" s="127" t="s">
        <v>159</v>
      </c>
      <c r="E65" s="128" t="s">
        <v>222</v>
      </c>
      <c r="F65" s="129" t="s">
        <v>223</v>
      </c>
    </row>
    <row r="66" spans="1:6" ht="14.25" customHeight="1">
      <c r="A66" s="150" t="s">
        <v>224</v>
      </c>
      <c r="B66" s="151" t="s">
        <v>225</v>
      </c>
      <c r="C66" s="167"/>
      <c r="D66" s="159" t="s">
        <v>159</v>
      </c>
      <c r="E66" s="196"/>
      <c r="F66" s="197"/>
    </row>
    <row r="67" spans="1:6" ht="14.25" customHeight="1">
      <c r="A67" s="198" t="s">
        <v>226</v>
      </c>
      <c r="B67" s="151" t="s">
        <v>227</v>
      </c>
      <c r="C67" s="144"/>
      <c r="D67" s="159" t="s">
        <v>159</v>
      </c>
      <c r="E67" s="196"/>
      <c r="F67" s="197"/>
    </row>
    <row r="68" spans="1:6" ht="14.25" customHeight="1">
      <c r="A68" s="150" t="s">
        <v>228</v>
      </c>
      <c r="B68" s="151" t="s">
        <v>229</v>
      </c>
      <c r="C68" s="144"/>
      <c r="D68" s="159" t="s">
        <v>159</v>
      </c>
      <c r="E68" s="196"/>
      <c r="F68" s="197"/>
    </row>
    <row r="69" spans="1:6" ht="12.75" customHeight="1">
      <c r="A69" s="155" t="s">
        <v>230</v>
      </c>
      <c r="B69" s="151" t="s">
        <v>231</v>
      </c>
      <c r="C69" s="144"/>
      <c r="D69" s="159" t="s">
        <v>159</v>
      </c>
      <c r="E69" s="153" t="s">
        <v>232</v>
      </c>
      <c r="F69" s="154" t="s">
        <v>233</v>
      </c>
    </row>
    <row r="70" spans="1:6" ht="13.5" customHeight="1">
      <c r="A70" s="199" t="s">
        <v>224</v>
      </c>
      <c r="B70" s="131" t="s">
        <v>234</v>
      </c>
      <c r="C70" s="147"/>
      <c r="D70" s="200" t="str">
        <f>IF(ACFOUCAP&gt;ACFOU,"Attention ACFOUBL&gt;ACFOU","€")</f>
        <v>€</v>
      </c>
      <c r="E70" s="201"/>
      <c r="F70" s="202"/>
    </row>
    <row r="71" spans="1:6" ht="14.25" customHeight="1">
      <c r="A71" s="203" t="s">
        <v>235</v>
      </c>
      <c r="B71" s="188" t="s">
        <v>236</v>
      </c>
      <c r="C71" s="204"/>
      <c r="D71" s="190" t="s">
        <v>159</v>
      </c>
      <c r="E71" s="168"/>
      <c r="F71" s="169" t="s">
        <v>237</v>
      </c>
    </row>
    <row r="72" spans="1:6" ht="14.25" customHeight="1">
      <c r="A72" s="150" t="s">
        <v>238</v>
      </c>
      <c r="B72" s="151" t="s">
        <v>239</v>
      </c>
      <c r="C72" s="144"/>
      <c r="D72" s="159" t="s">
        <v>159</v>
      </c>
      <c r="E72" s="196"/>
      <c r="F72" s="197"/>
    </row>
    <row r="73" spans="1:6" ht="14.25" customHeight="1">
      <c r="A73" s="150" t="s">
        <v>240</v>
      </c>
      <c r="B73" s="151" t="s">
        <v>241</v>
      </c>
      <c r="C73" s="144"/>
      <c r="D73" s="159" t="s">
        <v>159</v>
      </c>
      <c r="E73" s="196"/>
      <c r="F73" s="197"/>
    </row>
    <row r="74" spans="1:6" ht="14.25" customHeight="1">
      <c r="A74" s="155" t="s">
        <v>242</v>
      </c>
      <c r="B74" s="151" t="s">
        <v>243</v>
      </c>
      <c r="C74" s="205"/>
      <c r="D74" s="159" t="s">
        <v>159</v>
      </c>
      <c r="E74" s="153"/>
      <c r="F74" s="154" t="s">
        <v>244</v>
      </c>
    </row>
    <row r="75" spans="1:6" ht="14.25" customHeight="1">
      <c r="A75" s="150" t="s">
        <v>238</v>
      </c>
      <c r="B75" s="151" t="s">
        <v>245</v>
      </c>
      <c r="C75" s="144"/>
      <c r="D75" s="159" t="s">
        <v>159</v>
      </c>
      <c r="E75" s="196"/>
      <c r="F75" s="197"/>
    </row>
    <row r="76" spans="1:6" ht="14.25" customHeight="1">
      <c r="A76" s="150" t="s">
        <v>240</v>
      </c>
      <c r="B76" s="151" t="s">
        <v>246</v>
      </c>
      <c r="C76" s="144"/>
      <c r="D76" s="159" t="s">
        <v>159</v>
      </c>
      <c r="E76" s="196"/>
      <c r="F76" s="197"/>
    </row>
    <row r="77" spans="1:6" ht="23.25" customHeight="1">
      <c r="A77" s="155" t="s">
        <v>247</v>
      </c>
      <c r="B77" s="151" t="s">
        <v>248</v>
      </c>
      <c r="C77" s="205"/>
      <c r="D77" s="159" t="s">
        <v>159</v>
      </c>
      <c r="E77" s="153" t="s">
        <v>249</v>
      </c>
      <c r="F77" s="154"/>
    </row>
    <row r="78" spans="1:6" ht="14.25" customHeight="1">
      <c r="A78" s="150" t="s">
        <v>238</v>
      </c>
      <c r="B78" s="151" t="s">
        <v>250</v>
      </c>
      <c r="C78" s="144"/>
      <c r="D78" s="159" t="s">
        <v>159</v>
      </c>
      <c r="E78" s="196"/>
      <c r="F78" s="197"/>
    </row>
    <row r="79" spans="1:6" ht="14.25" customHeight="1">
      <c r="A79" s="206" t="s">
        <v>240</v>
      </c>
      <c r="B79" s="162" t="s">
        <v>251</v>
      </c>
      <c r="C79" s="187"/>
      <c r="D79" s="164" t="s">
        <v>159</v>
      </c>
      <c r="E79" s="207"/>
      <c r="F79" s="208"/>
    </row>
    <row r="80" spans="1:6" ht="14.25" customHeight="1">
      <c r="A80" s="124" t="s">
        <v>252</v>
      </c>
      <c r="B80" s="136" t="s">
        <v>253</v>
      </c>
      <c r="C80" s="141"/>
      <c r="D80" s="127" t="s">
        <v>159</v>
      </c>
      <c r="E80" s="128" t="s">
        <v>254</v>
      </c>
      <c r="F80" s="129" t="s">
        <v>255</v>
      </c>
    </row>
    <row r="81" spans="1:6" ht="14.25" customHeight="1">
      <c r="A81" s="150" t="s">
        <v>256</v>
      </c>
      <c r="B81" s="151" t="s">
        <v>257</v>
      </c>
      <c r="C81" s="167"/>
      <c r="D81" s="209" t="str">
        <f>IF(FELVCAP&gt;FELV,"Attention FELVBL&gt;FELV","€")</f>
        <v>€</v>
      </c>
      <c r="E81" s="196"/>
      <c r="F81" s="197"/>
    </row>
    <row r="82" spans="1:6" ht="44.25" customHeight="1">
      <c r="A82" s="155" t="s">
        <v>258</v>
      </c>
      <c r="B82" s="151" t="s">
        <v>259</v>
      </c>
      <c r="C82" s="210"/>
      <c r="D82" s="159" t="s">
        <v>159</v>
      </c>
      <c r="E82" s="153" t="s">
        <v>260</v>
      </c>
      <c r="F82" s="154" t="s">
        <v>261</v>
      </c>
    </row>
    <row r="83" spans="1:6" ht="33.75" customHeight="1">
      <c r="A83" s="199" t="s">
        <v>256</v>
      </c>
      <c r="B83" s="131" t="s">
        <v>262</v>
      </c>
      <c r="C83" s="148"/>
      <c r="D83" s="211" t="str">
        <f>IF(FELACAP&gt;FELA,"Attention FELABL&gt;FELA","€")</f>
        <v>€</v>
      </c>
      <c r="E83" s="201"/>
      <c r="F83" s="202"/>
    </row>
    <row r="84" spans="1:6" ht="13.5" customHeight="1">
      <c r="A84" s="212" t="s">
        <v>263</v>
      </c>
      <c r="B84" s="172" t="s">
        <v>264</v>
      </c>
      <c r="C84" s="141"/>
      <c r="D84" s="213"/>
      <c r="E84" s="214"/>
      <c r="F84" s="215"/>
    </row>
    <row r="85" spans="1:6" ht="12.75" customHeight="1">
      <c r="A85" s="150" t="s">
        <v>228</v>
      </c>
      <c r="B85" s="151" t="s">
        <v>265</v>
      </c>
      <c r="C85" s="144"/>
      <c r="D85" s="216"/>
      <c r="E85" s="196"/>
      <c r="F85" s="197"/>
    </row>
    <row r="86" spans="1:6" ht="14.25" customHeight="1">
      <c r="A86" s="198" t="s">
        <v>266</v>
      </c>
      <c r="B86" s="151" t="s">
        <v>267</v>
      </c>
      <c r="C86" s="144"/>
      <c r="D86" s="216"/>
      <c r="E86" s="196"/>
      <c r="F86" s="197"/>
    </row>
    <row r="87" spans="1:6" ht="15" customHeight="1">
      <c r="A87" s="217" t="s">
        <v>228</v>
      </c>
      <c r="B87" s="131" t="s">
        <v>268</v>
      </c>
      <c r="C87" s="218"/>
      <c r="D87" s="133" t="s">
        <v>159</v>
      </c>
      <c r="E87" s="134"/>
      <c r="F87" s="138"/>
    </row>
    <row r="88" spans="1:6" ht="13.5" customHeight="1">
      <c r="A88" s="192" t="s">
        <v>269</v>
      </c>
      <c r="B88" s="193" t="s">
        <v>270</v>
      </c>
      <c r="C88" s="191"/>
      <c r="D88" s="183" t="s">
        <v>159</v>
      </c>
      <c r="E88" s="184" t="s">
        <v>271</v>
      </c>
      <c r="F88" s="185" t="s">
        <v>272</v>
      </c>
    </row>
    <row r="89" spans="1:6" ht="14.25" customHeight="1">
      <c r="A89" s="155" t="s">
        <v>273</v>
      </c>
      <c r="B89" s="151" t="s">
        <v>274</v>
      </c>
      <c r="C89" s="144"/>
      <c r="D89" s="159" t="s">
        <v>159</v>
      </c>
      <c r="E89" s="153"/>
      <c r="F89" s="154" t="s">
        <v>275</v>
      </c>
    </row>
    <row r="90" spans="1:6" ht="14.25" customHeight="1">
      <c r="A90" s="155" t="s">
        <v>276</v>
      </c>
      <c r="B90" s="151" t="s">
        <v>277</v>
      </c>
      <c r="C90" s="144"/>
      <c r="D90" s="159" t="s">
        <v>159</v>
      </c>
      <c r="E90" s="153"/>
      <c r="F90" s="154">
        <v>6155</v>
      </c>
    </row>
    <row r="91" spans="1:6" ht="14.25" customHeight="1">
      <c r="A91" s="130" t="s">
        <v>278</v>
      </c>
      <c r="B91" s="131" t="s">
        <v>279</v>
      </c>
      <c r="C91" s="147"/>
      <c r="D91" s="133" t="s">
        <v>159</v>
      </c>
      <c r="E91" s="134"/>
      <c r="F91" s="138" t="s">
        <v>280</v>
      </c>
    </row>
    <row r="92" spans="1:6" ht="13.5" customHeight="1">
      <c r="A92" s="114" t="s">
        <v>281</v>
      </c>
      <c r="B92" s="219" t="s">
        <v>282</v>
      </c>
      <c r="C92" s="191"/>
      <c r="D92" s="117" t="s">
        <v>159</v>
      </c>
      <c r="E92" s="118"/>
      <c r="F92" s="119" t="s">
        <v>283</v>
      </c>
    </row>
    <row r="93" spans="1:6" ht="23.25" customHeight="1">
      <c r="A93" s="220" t="s">
        <v>284</v>
      </c>
      <c r="B93" s="221" t="s">
        <v>285</v>
      </c>
      <c r="C93" s="222"/>
      <c r="D93" s="223" t="s">
        <v>159</v>
      </c>
      <c r="E93" s="224" t="s">
        <v>286</v>
      </c>
      <c r="F93" s="225" t="s">
        <v>287</v>
      </c>
    </row>
    <row r="94" spans="1:6" ht="23.25" customHeight="1">
      <c r="A94" s="130" t="s">
        <v>288</v>
      </c>
      <c r="B94" s="131" t="s">
        <v>289</v>
      </c>
      <c r="C94" s="147"/>
      <c r="D94" s="133" t="s">
        <v>159</v>
      </c>
      <c r="E94" s="134" t="s">
        <v>290</v>
      </c>
      <c r="F94" s="138" t="s">
        <v>291</v>
      </c>
    </row>
    <row r="95" spans="1:6" ht="44.25" customHeight="1">
      <c r="A95" s="203" t="s">
        <v>292</v>
      </c>
      <c r="B95" s="188" t="s">
        <v>293</v>
      </c>
      <c r="C95" s="141"/>
      <c r="D95" s="190" t="s">
        <v>159</v>
      </c>
      <c r="E95" s="153" t="s">
        <v>294</v>
      </c>
      <c r="F95" s="154" t="s">
        <v>295</v>
      </c>
    </row>
    <row r="96" spans="1:6" ht="33.75" customHeight="1">
      <c r="A96" s="192" t="s">
        <v>296</v>
      </c>
      <c r="B96" s="193" t="s">
        <v>297</v>
      </c>
      <c r="C96" s="167"/>
      <c r="D96" s="183" t="s">
        <v>159</v>
      </c>
      <c r="E96" s="184" t="s">
        <v>298</v>
      </c>
      <c r="F96" s="185" t="s">
        <v>299</v>
      </c>
    </row>
    <row r="97" spans="1:6" ht="14.25" customHeight="1">
      <c r="A97" s="155" t="s">
        <v>300</v>
      </c>
      <c r="B97" s="151" t="s">
        <v>301</v>
      </c>
      <c r="C97" s="144"/>
      <c r="D97" s="159" t="s">
        <v>159</v>
      </c>
      <c r="E97" s="153" t="s">
        <v>302</v>
      </c>
      <c r="F97" s="154" t="s">
        <v>303</v>
      </c>
    </row>
    <row r="98" spans="1:6" ht="33.75" customHeight="1">
      <c r="A98" s="192" t="s">
        <v>304</v>
      </c>
      <c r="B98" s="193" t="s">
        <v>305</v>
      </c>
      <c r="C98" s="182"/>
      <c r="D98" s="183" t="s">
        <v>159</v>
      </c>
      <c r="E98" s="184" t="s">
        <v>306</v>
      </c>
      <c r="F98" s="185" t="s">
        <v>307</v>
      </c>
    </row>
    <row r="99" spans="1:6" ht="26.25" customHeight="1">
      <c r="A99" s="139" t="s">
        <v>308</v>
      </c>
      <c r="B99" s="140" t="s">
        <v>309</v>
      </c>
      <c r="C99" s="141"/>
      <c r="D99" s="177" t="s">
        <v>159</v>
      </c>
      <c r="E99" s="143" t="s">
        <v>310</v>
      </c>
      <c r="F99" s="178" t="s">
        <v>311</v>
      </c>
    </row>
    <row r="100" spans="1:6" ht="26.25" customHeight="1">
      <c r="A100" s="130" t="s">
        <v>312</v>
      </c>
      <c r="B100" s="131" t="s">
        <v>313</v>
      </c>
      <c r="C100" s="187"/>
      <c r="D100" s="133" t="s">
        <v>159</v>
      </c>
      <c r="E100" s="134" t="s">
        <v>310</v>
      </c>
      <c r="F100" s="138" t="s">
        <v>314</v>
      </c>
    </row>
    <row r="101" spans="1:6" ht="23.25" customHeight="1">
      <c r="A101" s="114" t="s">
        <v>315</v>
      </c>
      <c r="B101" s="219" t="s">
        <v>316</v>
      </c>
      <c r="C101" s="191"/>
      <c r="D101" s="117" t="s">
        <v>317</v>
      </c>
      <c r="E101" s="118" t="s">
        <v>318</v>
      </c>
      <c r="F101" s="119"/>
    </row>
    <row r="102" spans="1:6" ht="26.25" customHeight="1">
      <c r="A102" s="155" t="s">
        <v>319</v>
      </c>
      <c r="B102" s="151" t="s">
        <v>320</v>
      </c>
      <c r="C102" s="144"/>
      <c r="D102" s="159" t="s">
        <v>159</v>
      </c>
      <c r="E102" s="156" t="s">
        <v>321</v>
      </c>
      <c r="F102" s="157" t="s">
        <v>322</v>
      </c>
    </row>
    <row r="103" spans="1:6" ht="33.75" customHeight="1">
      <c r="A103" s="155" t="s">
        <v>323</v>
      </c>
      <c r="B103" s="151" t="s">
        <v>324</v>
      </c>
      <c r="C103" s="144"/>
      <c r="D103" s="159" t="s">
        <v>159</v>
      </c>
      <c r="E103" s="153" t="s">
        <v>325</v>
      </c>
      <c r="F103" s="154" t="s">
        <v>326</v>
      </c>
    </row>
    <row r="104" spans="1:6" ht="12.75" customHeight="1">
      <c r="A104" s="155" t="s">
        <v>327</v>
      </c>
      <c r="B104" s="151" t="s">
        <v>328</v>
      </c>
      <c r="C104" s="144"/>
      <c r="D104" s="159" t="s">
        <v>159</v>
      </c>
      <c r="E104" s="93" t="s">
        <v>329</v>
      </c>
      <c r="F104" s="226" t="s">
        <v>330</v>
      </c>
    </row>
    <row r="105" spans="1:6" s="15" customFormat="1" ht="13.5" customHeight="1">
      <c r="A105" s="227"/>
      <c r="B105" s="172"/>
      <c r="C105" s="228"/>
      <c r="D105" s="229"/>
      <c r="E105" s="214"/>
      <c r="F105" s="215"/>
    </row>
    <row r="106" spans="1:6" ht="13.5" customHeight="1">
      <c r="A106" s="230" t="s">
        <v>331</v>
      </c>
      <c r="B106" s="231"/>
      <c r="C106" s="232"/>
      <c r="D106" s="233"/>
      <c r="E106" s="234"/>
      <c r="F106" s="235"/>
    </row>
    <row r="107" spans="1:6" ht="12.75" customHeight="1">
      <c r="A107" s="124" t="s">
        <v>332</v>
      </c>
      <c r="B107" s="136" t="s">
        <v>333</v>
      </c>
      <c r="C107" s="236"/>
      <c r="D107" s="127" t="s">
        <v>159</v>
      </c>
      <c r="E107" s="128" t="s">
        <v>334</v>
      </c>
      <c r="F107" s="129"/>
    </row>
    <row r="108" spans="1:6" ht="12.75" customHeight="1">
      <c r="A108" s="155" t="s">
        <v>242</v>
      </c>
      <c r="B108" s="151" t="s">
        <v>335</v>
      </c>
      <c r="C108" s="237"/>
      <c r="D108" s="159" t="s">
        <v>159</v>
      </c>
      <c r="E108" s="153" t="s">
        <v>334</v>
      </c>
      <c r="F108" s="154"/>
    </row>
    <row r="109" spans="1:6" ht="12.75" customHeight="1">
      <c r="A109" s="155" t="s">
        <v>247</v>
      </c>
      <c r="B109" s="151" t="s">
        <v>336</v>
      </c>
      <c r="C109" s="237"/>
      <c r="D109" s="159" t="s">
        <v>159</v>
      </c>
      <c r="E109" s="153" t="s">
        <v>334</v>
      </c>
      <c r="F109" s="154"/>
    </row>
    <row r="110" spans="1:6" ht="25.5" customHeight="1">
      <c r="A110" s="192" t="s">
        <v>337</v>
      </c>
      <c r="B110" s="193" t="s">
        <v>338</v>
      </c>
      <c r="C110" s="238"/>
      <c r="D110" s="183" t="s">
        <v>159</v>
      </c>
      <c r="E110" s="184" t="s">
        <v>334</v>
      </c>
      <c r="F110" s="185"/>
    </row>
    <row r="111" spans="1:6" s="245" customFormat="1" ht="12.75" customHeight="1">
      <c r="A111" s="239" t="s">
        <v>339</v>
      </c>
      <c r="B111" s="240"/>
      <c r="C111" s="241"/>
      <c r="D111" s="242"/>
      <c r="E111" s="243"/>
      <c r="F111" s="244"/>
    </row>
    <row r="112" spans="1:6" ht="56.25" customHeight="1">
      <c r="A112" s="155" t="s">
        <v>340</v>
      </c>
      <c r="B112" s="151" t="s">
        <v>340</v>
      </c>
      <c r="C112" s="246"/>
      <c r="D112" s="159" t="s">
        <v>159</v>
      </c>
      <c r="E112" s="153" t="s">
        <v>341</v>
      </c>
      <c r="F112" s="154"/>
    </row>
    <row r="113" spans="1:6" ht="67.5" customHeight="1">
      <c r="A113" s="155" t="s">
        <v>342</v>
      </c>
      <c r="B113" s="151" t="s">
        <v>343</v>
      </c>
      <c r="C113" s="246"/>
      <c r="D113" s="159" t="s">
        <v>159</v>
      </c>
      <c r="E113" s="153" t="s">
        <v>344</v>
      </c>
      <c r="F113" s="154" t="s">
        <v>345</v>
      </c>
    </row>
    <row r="114" spans="1:6" ht="12.75" customHeight="1">
      <c r="A114" s="247" t="s">
        <v>346</v>
      </c>
      <c r="B114" s="151" t="s">
        <v>347</v>
      </c>
      <c r="C114" s="246"/>
      <c r="D114" s="159" t="s">
        <v>159</v>
      </c>
      <c r="E114" s="153"/>
      <c r="F114" s="154"/>
    </row>
    <row r="115" spans="1:6" ht="12.75" customHeight="1">
      <c r="A115" s="247" t="s">
        <v>348</v>
      </c>
      <c r="B115" s="151" t="s">
        <v>349</v>
      </c>
      <c r="C115" s="246"/>
      <c r="D115" s="159" t="s">
        <v>159</v>
      </c>
      <c r="E115" s="153"/>
      <c r="F115" s="154"/>
    </row>
    <row r="116" spans="1:6" ht="12.75" customHeight="1">
      <c r="A116" s="247" t="s">
        <v>350</v>
      </c>
      <c r="B116" s="151" t="s">
        <v>351</v>
      </c>
      <c r="C116" s="246"/>
      <c r="D116" s="159" t="s">
        <v>159</v>
      </c>
      <c r="E116" s="153"/>
      <c r="F116" s="154"/>
    </row>
    <row r="117" spans="1:6" ht="13.5" customHeight="1">
      <c r="A117" s="247"/>
      <c r="B117" s="151"/>
      <c r="C117" s="237"/>
      <c r="D117" s="159"/>
      <c r="E117" s="153"/>
      <c r="F117" s="154"/>
    </row>
    <row r="118" spans="1:6" ht="13.5" customHeight="1">
      <c r="A118" s="248" t="s">
        <v>352</v>
      </c>
      <c r="B118" s="249"/>
      <c r="C118" s="250"/>
      <c r="D118" s="251">
        <f>SUM(C119:C128)</f>
        <v>0</v>
      </c>
      <c r="E118" s="252">
        <f>IF(D118&lt;&gt;UMOns+UMOs,"Attention affectation incomplète","")</f>
      </c>
      <c r="F118" s="253"/>
    </row>
    <row r="119" spans="1:6" ht="13.5" customHeight="1">
      <c r="A119" s="254" t="s">
        <v>353</v>
      </c>
      <c r="B119" s="255" t="s">
        <v>354</v>
      </c>
      <c r="C119" s="256"/>
      <c r="D119" s="257" t="e">
        <f>(C119+C120)/(UMOns+UMOs)</f>
        <v>#DIV/0!</v>
      </c>
      <c r="E119" s="258" t="s">
        <v>355</v>
      </c>
      <c r="F119" s="259"/>
    </row>
    <row r="120" spans="1:6" ht="13.5" customHeight="1">
      <c r="A120" s="260" t="s">
        <v>356</v>
      </c>
      <c r="B120" s="261" t="s">
        <v>357</v>
      </c>
      <c r="C120" s="262"/>
      <c r="D120" s="263"/>
      <c r="E120" s="264"/>
      <c r="F120" s="265"/>
    </row>
    <row r="121" spans="1:6" ht="23.25" customHeight="1">
      <c r="A121" s="254" t="s">
        <v>358</v>
      </c>
      <c r="B121" s="255" t="s">
        <v>359</v>
      </c>
      <c r="C121" s="256"/>
      <c r="D121" s="257" t="e">
        <f>(C121+C122)/(UMOns+UMOs)</f>
        <v>#DIV/0!</v>
      </c>
      <c r="E121" s="258" t="s">
        <v>360</v>
      </c>
      <c r="F121" s="259"/>
    </row>
    <row r="122" spans="1:6" ht="14.25" customHeight="1">
      <c r="A122" s="260" t="s">
        <v>361</v>
      </c>
      <c r="B122" s="261" t="s">
        <v>362</v>
      </c>
      <c r="C122" s="262"/>
      <c r="D122" s="263"/>
      <c r="E122" s="264"/>
      <c r="F122" s="265"/>
    </row>
    <row r="123" spans="1:6" ht="13.5" customHeight="1">
      <c r="A123" s="254" t="s">
        <v>363</v>
      </c>
      <c r="B123" s="255" t="s">
        <v>364</v>
      </c>
      <c r="C123" s="256"/>
      <c r="D123" s="257" t="e">
        <f>(C123+C124)/(UMOns+UMOs)</f>
        <v>#DIV/0!</v>
      </c>
      <c r="E123" s="258" t="s">
        <v>365</v>
      </c>
      <c r="F123" s="259"/>
    </row>
    <row r="124" spans="1:6" ht="13.5" customHeight="1">
      <c r="A124" s="266" t="s">
        <v>366</v>
      </c>
      <c r="B124" s="267" t="s">
        <v>367</v>
      </c>
      <c r="C124" s="262"/>
      <c r="D124" s="263"/>
      <c r="E124" s="264"/>
      <c r="F124" s="265"/>
    </row>
    <row r="125" spans="1:6" ht="13.5" customHeight="1">
      <c r="A125" s="254" t="s">
        <v>368</v>
      </c>
      <c r="B125" s="255" t="s">
        <v>369</v>
      </c>
      <c r="C125" s="256"/>
      <c r="D125" s="257" t="e">
        <f>(C125+C126)/(UMOns+UMOs)</f>
        <v>#DIV/0!</v>
      </c>
      <c r="E125" s="258" t="s">
        <v>370</v>
      </c>
      <c r="F125" s="259"/>
    </row>
    <row r="126" spans="1:6" ht="13.5" customHeight="1">
      <c r="A126" s="266" t="s">
        <v>371</v>
      </c>
      <c r="B126" s="267" t="s">
        <v>372</v>
      </c>
      <c r="C126" s="262"/>
      <c r="D126" s="263"/>
      <c r="E126" s="264"/>
      <c r="F126" s="265"/>
    </row>
    <row r="127" spans="1:6" ht="13.5" customHeight="1">
      <c r="A127" s="254" t="s">
        <v>373</v>
      </c>
      <c r="B127" s="255" t="s">
        <v>374</v>
      </c>
      <c r="C127" s="256"/>
      <c r="D127" s="257" t="e">
        <f>(C127+C128)/(UMOns+UMOs)</f>
        <v>#DIV/0!</v>
      </c>
      <c r="E127" s="258" t="s">
        <v>375</v>
      </c>
      <c r="F127" s="259"/>
    </row>
    <row r="128" spans="1:6" ht="13.5" customHeight="1">
      <c r="A128" s="266" t="s">
        <v>376</v>
      </c>
      <c r="B128" s="267" t="s">
        <v>377</v>
      </c>
      <c r="C128" s="262"/>
      <c r="D128" s="263"/>
      <c r="E128" s="264"/>
      <c r="F128" s="265"/>
    </row>
  </sheetData>
  <sheetProtection password="BF82" sheet="1"/>
  <mergeCells count="1">
    <mergeCell ref="E24:F24"/>
  </mergeCells>
  <dataValidations count="7">
    <dataValidation type="list" allowBlank="1" showErrorMessage="1" sqref="C15">
      <formula1>Plamont</formula1>
      <formula2>0</formula2>
    </dataValidation>
    <dataValidation type="list" allowBlank="1" showErrorMessage="1" sqref="C10">
      <formula1>SysBL</formula1>
      <formula2>0</formula2>
    </dataValidation>
    <dataValidation type="list" allowBlank="1" showErrorMessage="1" sqref="C11">
      <formula1>SysBV</formula1>
      <formula2>0</formula2>
    </dataValidation>
    <dataValidation type="list" allowBlank="1" showErrorMessage="1" sqref="C9">
      <formula1>SysCAP</formula1>
      <formula2>0</formula2>
    </dataValidation>
    <dataValidation type="list" allowBlank="1" showErrorMessage="1" sqref="C12">
      <formula1>SysOV</formula1>
      <formula2>0</formula2>
    </dataValidation>
    <dataValidation type="list" allowBlank="1" showErrorMessage="1" sqref="C13">
      <formula1>SysOL</formula1>
      <formula2>0</formula2>
    </dataValidation>
    <dataValidation type="list" allowBlank="1" showErrorMessage="1" sqref="C14">
      <formula1>SysEQ</formula1>
      <formula2>0</formula2>
    </dataValidation>
  </dataValidations>
  <printOptions/>
  <pageMargins left="0.39375" right="0.39375" top="0.39375" bottom="0.7875" header="0.5118055555555555" footer="0.39375"/>
  <pageSetup fitToHeight="5" fitToWidth="1" horizontalDpi="300" verticalDpi="300" orientation="portrait" paperSize="9"/>
  <headerFooter alignWithMargins="0">
    <oddFooter>&amp;C&amp;8&amp;F - Feuille &amp;A - page &amp;P /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AG85"/>
  <sheetViews>
    <sheetView zoomScalePageLayoutView="0" workbookViewId="0" topLeftCell="A1">
      <selection activeCell="C25" sqref="C25"/>
    </sheetView>
  </sheetViews>
  <sheetFormatPr defaultColWidth="11.421875" defaultRowHeight="12.75"/>
  <cols>
    <col min="1" max="1" width="44.28125" style="268" customWidth="1"/>
    <col min="2" max="2" width="14.140625" style="269" customWidth="1"/>
    <col min="3" max="3" width="14.421875" style="270" customWidth="1"/>
    <col min="4" max="4" width="16.57421875" style="271" customWidth="1"/>
    <col min="5" max="5" width="12.7109375" style="269" customWidth="1"/>
    <col min="6" max="8" width="11.8515625" style="269" customWidth="1"/>
    <col min="9" max="9" width="6.00390625" style="268" customWidth="1"/>
    <col min="10" max="10" width="24.421875" style="272" customWidth="1"/>
    <col min="11" max="11" width="1.421875" style="273" customWidth="1"/>
    <col min="12" max="12" width="5.7109375" style="274" customWidth="1"/>
    <col min="13" max="13" width="7.421875" style="274" customWidth="1"/>
    <col min="14" max="14" width="5.7109375" style="274" customWidth="1"/>
    <col min="15" max="16" width="5.7109375" style="268" customWidth="1"/>
    <col min="17" max="18" width="10.00390625" style="268" customWidth="1"/>
    <col min="19" max="20" width="7.7109375" style="274" customWidth="1"/>
    <col min="21" max="21" width="4.8515625" style="274" customWidth="1"/>
    <col min="22" max="22" width="7.140625" style="268" customWidth="1"/>
    <col min="23" max="16384" width="11.421875" style="268" customWidth="1"/>
  </cols>
  <sheetData>
    <row r="1" spans="1:4" s="4" customFormat="1" ht="30" customHeight="1">
      <c r="A1" s="7"/>
      <c r="B1" s="41"/>
      <c r="C1" s="275"/>
      <c r="D1" s="276"/>
    </row>
    <row r="2" spans="1:18" s="11" customFormat="1" ht="41.25" customHeight="1">
      <c r="A2" s="8" t="s">
        <v>378</v>
      </c>
      <c r="B2" s="277" t="str">
        <f>CONCATENATE(EXP," - Campagne ",CAMP)</f>
        <v> - Campagne 2019</v>
      </c>
      <c r="C2" s="278"/>
      <c r="D2" s="279"/>
      <c r="Q2" s="280"/>
      <c r="R2" s="280"/>
    </row>
    <row r="3" spans="1:18" s="15" customFormat="1" ht="12.75">
      <c r="A3" s="281"/>
      <c r="B3" s="282"/>
      <c r="C3" s="275"/>
      <c r="D3" s="276"/>
      <c r="Q3" s="283"/>
      <c r="R3" s="283"/>
    </row>
    <row r="4" spans="1:18" s="15" customFormat="1" ht="12.75">
      <c r="A4" s="284" t="s">
        <v>379</v>
      </c>
      <c r="C4" s="275"/>
      <c r="D4" s="285"/>
      <c r="F4" s="286" t="s">
        <v>68</v>
      </c>
      <c r="G4" s="286"/>
      <c r="H4" s="286"/>
      <c r="O4" s="287"/>
      <c r="P4" s="287"/>
      <c r="Q4" s="283"/>
      <c r="R4" s="283"/>
    </row>
    <row r="5" spans="1:19" s="15" customFormat="1" ht="12.75">
      <c r="A5" s="288" t="s">
        <v>380</v>
      </c>
      <c r="B5" s="41"/>
      <c r="C5" s="275"/>
      <c r="D5" s="276"/>
      <c r="F5" s="289">
        <f>DATEVER</f>
        <v>43515</v>
      </c>
      <c r="G5" s="289"/>
      <c r="H5" s="289"/>
      <c r="J5" s="290"/>
      <c r="K5" s="291"/>
      <c r="L5" s="291"/>
      <c r="M5" s="292" t="s">
        <v>381</v>
      </c>
      <c r="N5" s="293" t="s">
        <v>140</v>
      </c>
      <c r="O5" s="294" t="s">
        <v>145</v>
      </c>
      <c r="P5" s="294" t="s">
        <v>149</v>
      </c>
      <c r="Q5" s="283"/>
      <c r="R5" s="283"/>
      <c r="S5" s="295"/>
    </row>
    <row r="6" spans="1:19" s="15" customFormat="1" ht="12.75">
      <c r="A6" s="284" t="s">
        <v>382</v>
      </c>
      <c r="B6" s="41"/>
      <c r="C6" s="275"/>
      <c r="D6" s="276"/>
      <c r="J6" s="272" t="s">
        <v>383</v>
      </c>
      <c r="K6" s="291"/>
      <c r="L6" s="291"/>
      <c r="M6" s="296">
        <f>SUM(N6:P6)</f>
        <v>0</v>
      </c>
      <c r="N6" s="297">
        <f>SHCAP</f>
        <v>0</v>
      </c>
      <c r="O6" s="297">
        <f>CFCAP</f>
        <v>0</v>
      </c>
      <c r="P6" s="297">
        <f>CVCAP</f>
        <v>0</v>
      </c>
      <c r="Q6" s="283"/>
      <c r="R6" s="283"/>
      <c r="S6" s="295"/>
    </row>
    <row r="7" spans="1:19" s="15" customFormat="1" ht="12.75">
      <c r="A7" s="288" t="s">
        <v>384</v>
      </c>
      <c r="B7" s="41"/>
      <c r="C7" s="275"/>
      <c r="D7" s="276"/>
      <c r="J7" s="272" t="s">
        <v>385</v>
      </c>
      <c r="K7" s="291"/>
      <c r="L7" s="291"/>
      <c r="M7" s="298">
        <f>SUM(N7:P7)</f>
        <v>0</v>
      </c>
      <c r="N7" s="299">
        <f>SH-N6</f>
        <v>0</v>
      </c>
      <c r="O7" s="299">
        <f>CF-O6</f>
        <v>0</v>
      </c>
      <c r="P7" s="300"/>
      <c r="Q7" s="283"/>
      <c r="R7" s="283"/>
      <c r="S7" s="295"/>
    </row>
    <row r="9" spans="1:22" ht="16.5" customHeight="1">
      <c r="A9" s="301"/>
      <c r="B9" s="1374" t="s">
        <v>386</v>
      </c>
      <c r="C9" s="1375" t="s">
        <v>387</v>
      </c>
      <c r="D9" s="1376" t="s">
        <v>388</v>
      </c>
      <c r="E9" s="1377" t="s">
        <v>389</v>
      </c>
      <c r="F9" s="1378" t="s">
        <v>390</v>
      </c>
      <c r="G9" s="1369" t="s">
        <v>391</v>
      </c>
      <c r="H9" s="1369" t="s">
        <v>392</v>
      </c>
      <c r="J9" s="1370" t="s">
        <v>55</v>
      </c>
      <c r="K9" s="302"/>
      <c r="L9" s="1371" t="s">
        <v>393</v>
      </c>
      <c r="M9" s="1371"/>
      <c r="N9" s="1371"/>
      <c r="O9" s="1371"/>
      <c r="P9" s="1371"/>
      <c r="Q9" s="1371"/>
      <c r="R9" s="1371"/>
      <c r="S9" s="1371"/>
      <c r="T9" s="1371"/>
      <c r="U9" s="1371"/>
      <c r="V9" s="1371"/>
    </row>
    <row r="10" spans="1:27" ht="13.5" customHeight="1">
      <c r="A10" s="303"/>
      <c r="B10" s="1374"/>
      <c r="C10" s="1375"/>
      <c r="D10" s="1376"/>
      <c r="E10" s="1377"/>
      <c r="F10" s="1378"/>
      <c r="G10" s="1369"/>
      <c r="H10" s="1369"/>
      <c r="J10" s="1370"/>
      <c r="K10" s="302"/>
      <c r="L10" s="304" t="s">
        <v>394</v>
      </c>
      <c r="M10" s="305" t="s">
        <v>395</v>
      </c>
      <c r="N10" s="305" t="s">
        <v>396</v>
      </c>
      <c r="O10" s="305" t="s">
        <v>397</v>
      </c>
      <c r="P10" s="305" t="s">
        <v>324</v>
      </c>
      <c r="Q10" s="306" t="s">
        <v>398</v>
      </c>
      <c r="R10" s="307" t="s">
        <v>140</v>
      </c>
      <c r="S10" s="308" t="s">
        <v>145</v>
      </c>
      <c r="T10" s="309" t="s">
        <v>149</v>
      </c>
      <c r="U10" s="310" t="s">
        <v>154</v>
      </c>
      <c r="V10" s="310" t="s">
        <v>156</v>
      </c>
      <c r="W10" s="1372"/>
      <c r="X10" s="1372"/>
      <c r="Y10" s="1373" t="s">
        <v>399</v>
      </c>
      <c r="Z10" s="1373"/>
      <c r="AA10" s="1373"/>
    </row>
    <row r="11" spans="1:27" ht="12">
      <c r="A11" s="303"/>
      <c r="B11" s="1374"/>
      <c r="C11" s="1375"/>
      <c r="D11" s="1376"/>
      <c r="E11" s="1377"/>
      <c r="F11" s="1378"/>
      <c r="G11" s="1369"/>
      <c r="H11" s="1369"/>
      <c r="J11" s="1370"/>
      <c r="K11" s="302"/>
      <c r="L11" s="311">
        <f>UGBBL</f>
        <v>0</v>
      </c>
      <c r="M11" s="312">
        <f>UGBBV</f>
        <v>0</v>
      </c>
      <c r="N11" s="312">
        <f>UGBOV</f>
        <v>0</v>
      </c>
      <c r="O11" s="312">
        <f>UGBOL</f>
        <v>0</v>
      </c>
      <c r="P11" s="312">
        <f>UGBCAP</f>
        <v>0</v>
      </c>
      <c r="Q11" s="313">
        <f>UGBEQ</f>
        <v>0</v>
      </c>
      <c r="R11" s="311">
        <f>SH</f>
        <v>0</v>
      </c>
      <c r="S11" s="313">
        <f>CF</f>
        <v>0</v>
      </c>
      <c r="T11" s="314">
        <f>CV</f>
        <v>0</v>
      </c>
      <c r="U11" s="315">
        <f>CP</f>
        <v>0</v>
      </c>
      <c r="V11" s="315">
        <f>CS</f>
        <v>0</v>
      </c>
      <c r="W11" s="316"/>
      <c r="X11" s="317"/>
      <c r="Y11" s="318" t="s">
        <v>140</v>
      </c>
      <c r="Z11" s="319" t="s">
        <v>145</v>
      </c>
      <c r="AA11" s="320" t="s">
        <v>149</v>
      </c>
    </row>
    <row r="12" spans="1:27" ht="14.25" customHeight="1">
      <c r="A12" s="321" t="s">
        <v>400</v>
      </c>
      <c r="B12" s="322" t="s">
        <v>159</v>
      </c>
      <c r="C12" s="323" t="s">
        <v>159</v>
      </c>
      <c r="D12" s="324" t="s">
        <v>159</v>
      </c>
      <c r="E12" s="325" t="s">
        <v>159</v>
      </c>
      <c r="F12" s="326" t="s">
        <v>159</v>
      </c>
      <c r="G12" s="325" t="s">
        <v>159</v>
      </c>
      <c r="H12" s="325" t="s">
        <v>159</v>
      </c>
      <c r="J12" s="1370"/>
      <c r="K12" s="302"/>
      <c r="L12" s="327" t="s">
        <v>121</v>
      </c>
      <c r="M12" s="328" t="s">
        <v>121</v>
      </c>
      <c r="N12" s="328" t="s">
        <v>121</v>
      </c>
      <c r="O12" s="328" t="s">
        <v>121</v>
      </c>
      <c r="P12" s="328" t="s">
        <v>121</v>
      </c>
      <c r="Q12" s="329" t="s">
        <v>121</v>
      </c>
      <c r="R12" s="327" t="s">
        <v>135</v>
      </c>
      <c r="S12" s="330" t="s">
        <v>135</v>
      </c>
      <c r="T12" s="331" t="s">
        <v>135</v>
      </c>
      <c r="U12" s="332" t="s">
        <v>135</v>
      </c>
      <c r="V12" s="332"/>
      <c r="W12" s="333"/>
      <c r="X12" s="333"/>
      <c r="Y12" s="334" t="s">
        <v>317</v>
      </c>
      <c r="Z12" s="335" t="s">
        <v>317</v>
      </c>
      <c r="AA12" s="336" t="s">
        <v>317</v>
      </c>
    </row>
    <row r="13" spans="1:27" ht="12" customHeight="1">
      <c r="A13" s="321"/>
      <c r="D13" s="271" t="s">
        <v>401</v>
      </c>
      <c r="O13" s="274"/>
      <c r="P13" s="274"/>
      <c r="Q13" s="274"/>
      <c r="R13" s="274"/>
      <c r="S13" s="268"/>
      <c r="T13" s="268"/>
      <c r="U13" s="268"/>
      <c r="Y13" s="274"/>
      <c r="Z13" s="274"/>
      <c r="AA13" s="274"/>
    </row>
    <row r="14" spans="1:27" ht="13.5" customHeight="1">
      <c r="A14" s="337" t="s">
        <v>402</v>
      </c>
      <c r="B14" s="338">
        <f aca="true" t="shared" si="0" ref="B14:H14">B15+B24+B29</f>
        <v>0</v>
      </c>
      <c r="C14" s="338" t="e">
        <f t="shared" si="0"/>
        <v>#DIV/0!</v>
      </c>
      <c r="D14" s="338" t="e">
        <f t="shared" si="0"/>
        <v>#DIV/0!</v>
      </c>
      <c r="E14" s="338" t="e">
        <f t="shared" si="0"/>
        <v>#N/A</v>
      </c>
      <c r="F14" s="338">
        <f t="shared" si="0"/>
        <v>0</v>
      </c>
      <c r="G14" s="338" t="e">
        <f t="shared" si="0"/>
        <v>#N/A</v>
      </c>
      <c r="H14" s="338" t="e">
        <f t="shared" si="0"/>
        <v>#N/A</v>
      </c>
      <c r="I14" s="339" t="e">
        <f>IF(ABS(B14-C14-D14-E14-G14-H14)&lt;0.000001,"OK","Pb")</f>
        <v>#DIV/0!</v>
      </c>
      <c r="J14" s="340"/>
      <c r="L14" s="341" t="s">
        <v>403</v>
      </c>
      <c r="M14" s="341"/>
      <c r="N14" s="341"/>
      <c r="O14" s="341"/>
      <c r="P14" s="341"/>
      <c r="Q14" s="342"/>
      <c r="R14" s="343">
        <f>SUM(L11:Q11)</f>
        <v>0</v>
      </c>
      <c r="S14" s="344"/>
      <c r="T14" s="344"/>
      <c r="U14" s="344"/>
      <c r="V14" s="344"/>
      <c r="W14" s="344"/>
      <c r="X14" s="344"/>
      <c r="Y14" s="342"/>
      <c r="Z14" s="342"/>
      <c r="AA14" s="342"/>
    </row>
    <row r="15" spans="1:27" ht="13.5" customHeight="1">
      <c r="A15" s="345" t="s">
        <v>404</v>
      </c>
      <c r="B15" s="346">
        <f>B16+B17+B19+B20+B21+B22+B23</f>
        <v>0</v>
      </c>
      <c r="C15" s="346" t="e">
        <f>C16+C17+C19+C20+C21+C22+C23</f>
        <v>#DIV/0!</v>
      </c>
      <c r="D15" s="346" t="e">
        <f>SUM(D16:D23)</f>
        <v>#DIV/0!</v>
      </c>
      <c r="E15" s="346" t="e">
        <f>SUM(E16:E23)</f>
        <v>#N/A</v>
      </c>
      <c r="F15" s="346">
        <f>SUM(F16:F23)</f>
        <v>0</v>
      </c>
      <c r="G15" s="346" t="e">
        <f>SUM(G16:G23)</f>
        <v>#N/A</v>
      </c>
      <c r="H15" s="346" t="e">
        <f>SUM(H16:H23)</f>
        <v>#N/A</v>
      </c>
      <c r="I15" s="339" t="e">
        <f>IF(ABS(B15-C15-D15-E15-G14-H14)&lt;0.000001,"OK","Pb")</f>
        <v>#DIV/0!</v>
      </c>
      <c r="J15" s="340"/>
      <c r="L15" s="342"/>
      <c r="M15" s="342"/>
      <c r="N15" s="342"/>
      <c r="O15" s="342"/>
      <c r="P15" s="342"/>
      <c r="Q15" s="342"/>
      <c r="R15" s="342"/>
      <c r="S15" s="344"/>
      <c r="T15" s="344"/>
      <c r="U15" s="344"/>
      <c r="V15" s="344"/>
      <c r="W15" s="344"/>
      <c r="X15" s="344"/>
      <c r="Y15" s="342"/>
      <c r="Z15" s="342"/>
      <c r="AA15" s="342"/>
    </row>
    <row r="16" spans="1:27" s="303" customFormat="1" ht="13.5" customHeight="1">
      <c r="A16" s="347" t="s">
        <v>106</v>
      </c>
      <c r="B16" s="348">
        <f>LCB*PML</f>
        <v>0</v>
      </c>
      <c r="C16" s="270">
        <f>B16</f>
        <v>0</v>
      </c>
      <c r="D16" s="349"/>
      <c r="E16" s="349"/>
      <c r="F16" s="349"/>
      <c r="G16" s="349"/>
      <c r="H16" s="349"/>
      <c r="I16" s="339" t="str">
        <f aca="true" t="shared" si="1" ref="I16:I21">IF(ABS(B16-C16-D16-E16)&lt;0.000001,"OK","Pb")</f>
        <v>OK</v>
      </c>
      <c r="J16" s="272" t="s">
        <v>405</v>
      </c>
      <c r="K16" s="273"/>
      <c r="L16" s="350">
        <v>1</v>
      </c>
      <c r="M16" s="351"/>
      <c r="N16" s="351"/>
      <c r="O16" s="351"/>
      <c r="P16" s="351"/>
      <c r="Q16" s="352"/>
      <c r="R16" s="352"/>
      <c r="S16" s="352"/>
      <c r="T16" s="353"/>
      <c r="U16" s="354"/>
      <c r="V16" s="354"/>
      <c r="W16" s="355"/>
      <c r="X16" s="355"/>
      <c r="Y16" s="356"/>
      <c r="Z16" s="356"/>
      <c r="AA16" s="356"/>
    </row>
    <row r="17" spans="1:27" s="303" customFormat="1" ht="13.5" customHeight="1">
      <c r="A17" s="347" t="s">
        <v>406</v>
      </c>
      <c r="B17" s="348">
        <f>PVCAP-ANICAP</f>
        <v>0</v>
      </c>
      <c r="C17" s="270">
        <f>B17</f>
        <v>0</v>
      </c>
      <c r="D17" s="349"/>
      <c r="E17" s="349"/>
      <c r="F17" s="349"/>
      <c r="G17" s="349"/>
      <c r="H17" s="349"/>
      <c r="I17" s="339" t="str">
        <f t="shared" si="1"/>
        <v>OK</v>
      </c>
      <c r="J17" s="272" t="s">
        <v>405</v>
      </c>
      <c r="K17" s="273"/>
      <c r="L17" s="357">
        <v>1</v>
      </c>
      <c r="M17" s="358"/>
      <c r="N17" s="358"/>
      <c r="O17" s="358"/>
      <c r="P17" s="358"/>
      <c r="Q17" s="359"/>
      <c r="R17" s="359"/>
      <c r="S17" s="359"/>
      <c r="T17" s="360"/>
      <c r="U17" s="354"/>
      <c r="V17" s="354"/>
      <c r="W17" s="355"/>
      <c r="X17" s="355"/>
      <c r="Y17" s="356"/>
      <c r="Z17" s="356"/>
      <c r="AA17" s="356"/>
    </row>
    <row r="18" spans="1:27" s="303" customFormat="1" ht="13.5" customHeight="1">
      <c r="A18" s="361" t="s">
        <v>407</v>
      </c>
      <c r="B18" s="362">
        <f>ANICAP</f>
        <v>0</v>
      </c>
      <c r="C18" s="363">
        <f>ANICAP</f>
        <v>0</v>
      </c>
      <c r="D18" s="364"/>
      <c r="E18" s="364"/>
      <c r="F18" s="364"/>
      <c r="G18" s="364"/>
      <c r="H18" s="364"/>
      <c r="I18" s="339" t="str">
        <f t="shared" si="1"/>
        <v>OK</v>
      </c>
      <c r="J18" s="272" t="s">
        <v>405</v>
      </c>
      <c r="K18" s="273"/>
      <c r="L18" s="357">
        <v>1</v>
      </c>
      <c r="M18" s="358"/>
      <c r="N18" s="358"/>
      <c r="O18" s="358"/>
      <c r="P18" s="358"/>
      <c r="Q18" s="359"/>
      <c r="R18" s="359"/>
      <c r="S18" s="359"/>
      <c r="T18" s="360"/>
      <c r="U18" s="354"/>
      <c r="V18" s="354"/>
      <c r="W18" s="355"/>
      <c r="X18" s="355"/>
      <c r="Y18" s="356"/>
      <c r="Z18" s="356"/>
      <c r="AA18" s="356"/>
    </row>
    <row r="19" spans="1:27" s="303" customFormat="1" ht="13.5" customHeight="1">
      <c r="A19" s="347" t="s">
        <v>408</v>
      </c>
      <c r="B19" s="348">
        <f>PAUTCAP</f>
        <v>0</v>
      </c>
      <c r="C19" s="270">
        <f>B19</f>
        <v>0</v>
      </c>
      <c r="D19" s="349"/>
      <c r="E19" s="349"/>
      <c r="F19" s="349"/>
      <c r="G19" s="349"/>
      <c r="H19" s="349"/>
      <c r="I19" s="339" t="str">
        <f t="shared" si="1"/>
        <v>OK</v>
      </c>
      <c r="J19" s="272" t="s">
        <v>405</v>
      </c>
      <c r="K19" s="273"/>
      <c r="L19" s="357">
        <v>1</v>
      </c>
      <c r="M19" s="358"/>
      <c r="N19" s="358"/>
      <c r="O19" s="358"/>
      <c r="P19" s="358"/>
      <c r="Q19" s="359"/>
      <c r="R19" s="359"/>
      <c r="S19" s="359"/>
      <c r="T19" s="360"/>
      <c r="U19" s="354"/>
      <c r="V19" s="354"/>
      <c r="W19" s="355"/>
      <c r="X19" s="355"/>
      <c r="Y19" s="356"/>
      <c r="Z19" s="356"/>
      <c r="AA19" s="356"/>
    </row>
    <row r="20" spans="1:27" ht="13.5" customHeight="1">
      <c r="A20" s="347" t="s">
        <v>409</v>
      </c>
      <c r="B20" s="348">
        <f>PTBL+PTBV+PTOV+PTOL+PTEQ</f>
        <v>0</v>
      </c>
      <c r="D20" s="269">
        <f>PTBL+PTBV+PTOV+PTOL+PTEQ</f>
        <v>0</v>
      </c>
      <c r="I20" s="339" t="str">
        <f t="shared" si="1"/>
        <v>OK</v>
      </c>
      <c r="L20" s="357"/>
      <c r="M20" s="358"/>
      <c r="N20" s="358"/>
      <c r="O20" s="358"/>
      <c r="P20" s="358"/>
      <c r="Q20" s="359"/>
      <c r="R20" s="359"/>
      <c r="S20" s="359"/>
      <c r="T20" s="360"/>
      <c r="U20" s="354"/>
      <c r="V20" s="354"/>
      <c r="W20" s="283"/>
      <c r="X20" s="283"/>
      <c r="Y20" s="274"/>
      <c r="Z20" s="274"/>
      <c r="AA20" s="274"/>
    </row>
    <row r="21" spans="1:27" ht="13.5" customHeight="1">
      <c r="A21" s="347" t="s">
        <v>410</v>
      </c>
      <c r="B21" s="348">
        <f>PVSF</f>
        <v>0</v>
      </c>
      <c r="C21" s="270" t="e">
        <f>(UGBCAP)*B21/((UGBCAP)+L21*(UGBBL+UGBBV+UGBOV+UGBOL+UGBEQ))</f>
        <v>#DIV/0!</v>
      </c>
      <c r="D21" s="269" t="e">
        <f>C21*L21*(UGBBL+UGBBV+UGBOV+UGBOL+UGBEQ)/(UGBCAP)</f>
        <v>#DIV/0!</v>
      </c>
      <c r="I21" s="339" t="e">
        <f t="shared" si="1"/>
        <v>#DIV/0!</v>
      </c>
      <c r="J21" s="272" t="s">
        <v>411</v>
      </c>
      <c r="L21" s="357">
        <v>1</v>
      </c>
      <c r="M21" s="358"/>
      <c r="N21" s="358"/>
      <c r="O21" s="358"/>
      <c r="P21" s="358"/>
      <c r="Q21" s="359">
        <v>1</v>
      </c>
      <c r="R21" s="359"/>
      <c r="S21" s="359"/>
      <c r="T21" s="360"/>
      <c r="U21" s="354"/>
      <c r="V21" s="354"/>
      <c r="W21" s="283"/>
      <c r="X21" s="283"/>
      <c r="Y21" s="274"/>
      <c r="Z21" s="274"/>
      <c r="AA21" s="274"/>
    </row>
    <row r="22" spans="1:27" ht="13.5" customHeight="1">
      <c r="A22" s="347" t="s">
        <v>412</v>
      </c>
      <c r="B22" s="348">
        <f>PCV+PCP+PCS</f>
        <v>0</v>
      </c>
      <c r="D22" s="269"/>
      <c r="E22" s="269">
        <f>PCV</f>
        <v>0</v>
      </c>
      <c r="G22" s="269">
        <f>PCP</f>
        <v>0</v>
      </c>
      <c r="H22" s="269">
        <f>PCS</f>
        <v>0</v>
      </c>
      <c r="I22" s="339" t="str">
        <f>IF(ABS(B22-E22-G22-H22)&lt;0.000001,"OK","Pb")</f>
        <v>OK</v>
      </c>
      <c r="L22" s="357"/>
      <c r="M22" s="358"/>
      <c r="N22" s="358"/>
      <c r="O22" s="358"/>
      <c r="P22" s="358"/>
      <c r="Q22" s="359"/>
      <c r="R22" s="359">
        <v>1</v>
      </c>
      <c r="S22" s="359">
        <v>1</v>
      </c>
      <c r="T22" s="360">
        <v>1</v>
      </c>
      <c r="U22" s="354"/>
      <c r="V22" s="354"/>
      <c r="W22" s="283"/>
      <c r="X22" s="283"/>
      <c r="Y22" s="274"/>
      <c r="Z22" s="274"/>
      <c r="AA22" s="274"/>
    </row>
    <row r="23" spans="1:27" ht="13.5" customHeight="1">
      <c r="A23" s="347" t="s">
        <v>192</v>
      </c>
      <c r="B23" s="348">
        <f>PAUT</f>
        <v>0</v>
      </c>
      <c r="C23" s="270" t="e">
        <f>B23*UGBCAP/(UGBCAP+(UGBBV+UGBBL+UGBOV+UGBOL+UGBEQ)*L23+CV*T23+CP*U23+CS*V23)</f>
        <v>#N/A</v>
      </c>
      <c r="D23" s="269" t="e">
        <f>C23*L23*(UGBBL+UGBBV+UGBOV+UGBOL+UGBEQ)/UGBCAP</f>
        <v>#N/A</v>
      </c>
      <c r="E23" s="269" t="e">
        <f>C23*T23*CV/UGBCAP</f>
        <v>#N/A</v>
      </c>
      <c r="F23" s="269">
        <f>IF(CV&gt;0,E23*CVCAP/CV,0)</f>
        <v>0</v>
      </c>
      <c r="G23" s="269" t="e">
        <f>C23*U23*CP/UGBCAP</f>
        <v>#N/A</v>
      </c>
      <c r="H23" s="269" t="e">
        <f>C23*V23*CS/UGBCAP</f>
        <v>#N/A</v>
      </c>
      <c r="I23" s="339" t="e">
        <f>IF(ABS(B23-C23-D23-E23-G23-H23)&lt;0.000001,"OK","Pb")</f>
        <v>#N/A</v>
      </c>
      <c r="J23" s="365" t="s">
        <v>413</v>
      </c>
      <c r="L23" s="366">
        <f>Cuisine!B67</f>
        <v>1</v>
      </c>
      <c r="M23" s="366">
        <f>Cuisine!C67</f>
        <v>0</v>
      </c>
      <c r="N23" s="366">
        <f>Cuisine!D67</f>
        <v>0</v>
      </c>
      <c r="O23" s="366">
        <f>Cuisine!E67</f>
        <v>0</v>
      </c>
      <c r="P23" s="366">
        <f>Cuisine!F67</f>
        <v>0</v>
      </c>
      <c r="Q23" s="366">
        <f>Cuisine!G67</f>
        <v>0</v>
      </c>
      <c r="R23" s="366">
        <f>Cuisine!H67</f>
        <v>0</v>
      </c>
      <c r="S23" s="366" t="e">
        <f>Cuisine!I67</f>
        <v>#N/A</v>
      </c>
      <c r="T23" s="366" t="e">
        <f>Cuisine!J67</f>
        <v>#N/A</v>
      </c>
      <c r="U23" s="366">
        <f>Cuisine!K67</f>
        <v>1.038510164338356</v>
      </c>
      <c r="V23" s="366">
        <f>Cuisine!L67</f>
        <v>0.08668812580876145</v>
      </c>
      <c r="W23" s="283"/>
      <c r="X23" s="283"/>
      <c r="Y23" s="274"/>
      <c r="Z23" s="274"/>
      <c r="AA23" s="274"/>
    </row>
    <row r="24" spans="1:27" s="303" customFormat="1" ht="13.5" customHeight="1">
      <c r="A24" s="345" t="s">
        <v>414</v>
      </c>
      <c r="B24" s="346">
        <f>B25+B26+B27+B28</f>
        <v>0</v>
      </c>
      <c r="C24" s="367">
        <f>SUM(C25:C28)</f>
        <v>0</v>
      </c>
      <c r="D24" s="346">
        <f>SUM(D25:D28)</f>
        <v>0</v>
      </c>
      <c r="E24" s="346">
        <f>SUM(E25:E28)</f>
        <v>0</v>
      </c>
      <c r="F24" s="346">
        <f>SUM(F25:F28)</f>
        <v>0</v>
      </c>
      <c r="G24" s="346"/>
      <c r="H24" s="346"/>
      <c r="I24" s="339" t="str">
        <f aca="true" t="shared" si="2" ref="I24:I33">IF(ABS(B24-C24-D24-E24)&lt;0.000001,"OK","Pb")</f>
        <v>OK</v>
      </c>
      <c r="J24" s="340"/>
      <c r="K24" s="273"/>
      <c r="L24" s="354"/>
      <c r="M24" s="354"/>
      <c r="N24" s="354"/>
      <c r="O24" s="354"/>
      <c r="P24" s="354"/>
      <c r="Q24" s="354"/>
      <c r="R24" s="354"/>
      <c r="S24" s="354"/>
      <c r="T24" s="354"/>
      <c r="U24" s="354"/>
      <c r="V24" s="354"/>
      <c r="W24" s="283"/>
      <c r="X24" s="283"/>
      <c r="Y24" s="368"/>
      <c r="Z24" s="368"/>
      <c r="AA24" s="368"/>
    </row>
    <row r="25" spans="1:27" ht="13.5" customHeight="1">
      <c r="A25" s="369" t="s">
        <v>415</v>
      </c>
      <c r="B25" s="348">
        <f>IF(CF&gt;0,ACF,0)</f>
        <v>0</v>
      </c>
      <c r="C25" s="270">
        <f>IF(CFCAP&gt;0,CFCAP*$B25/(CFCAP+(CF-CFCAP)*Q25),0)</f>
        <v>0</v>
      </c>
      <c r="D25" s="269">
        <f>IF(CFCAP&gt;0,(CF-CFCAP)*C25*Q25/CFCAP,0)</f>
        <v>0</v>
      </c>
      <c r="I25" s="339" t="str">
        <f t="shared" si="2"/>
        <v>OK</v>
      </c>
      <c r="J25" s="340" t="s">
        <v>416</v>
      </c>
      <c r="L25" s="370">
        <v>1</v>
      </c>
      <c r="M25" s="371"/>
      <c r="N25" s="371"/>
      <c r="O25" s="371"/>
      <c r="P25" s="371"/>
      <c r="Q25" s="372"/>
      <c r="R25" s="373"/>
      <c r="S25" s="373"/>
      <c r="T25" s="374"/>
      <c r="U25" s="375"/>
      <c r="V25" s="375"/>
      <c r="W25" s="283"/>
      <c r="X25" s="283"/>
      <c r="Y25" s="274"/>
      <c r="Z25" s="274"/>
      <c r="AA25" s="274"/>
    </row>
    <row r="26" spans="1:27" ht="13.5" customHeight="1">
      <c r="A26" s="369" t="s">
        <v>417</v>
      </c>
      <c r="B26" s="348">
        <f>ACV</f>
        <v>0</v>
      </c>
      <c r="D26" s="269"/>
      <c r="E26" s="269">
        <f>B26</f>
        <v>0</v>
      </c>
      <c r="F26" s="269">
        <f>IF(CV&gt;0,E26*CVCAP/CV,0)</f>
        <v>0</v>
      </c>
      <c r="I26" s="339" t="str">
        <f t="shared" si="2"/>
        <v>OK</v>
      </c>
      <c r="J26" s="272" t="s">
        <v>405</v>
      </c>
      <c r="L26" s="376"/>
      <c r="M26" s="377"/>
      <c r="N26" s="377"/>
      <c r="O26" s="377"/>
      <c r="P26" s="377"/>
      <c r="Q26" s="378"/>
      <c r="R26" s="379">
        <v>1</v>
      </c>
      <c r="S26" s="379">
        <v>1</v>
      </c>
      <c r="T26" s="380">
        <v>1</v>
      </c>
      <c r="U26" s="375"/>
      <c r="V26" s="375"/>
      <c r="W26" s="283"/>
      <c r="X26" s="283"/>
      <c r="Y26" s="274"/>
      <c r="Z26" s="274"/>
      <c r="AA26" s="274"/>
    </row>
    <row r="27" spans="1:27" ht="13.5" customHeight="1">
      <c r="A27" s="369" t="s">
        <v>201</v>
      </c>
      <c r="B27" s="348">
        <f>ACCAP+AIDCAP</f>
        <v>0</v>
      </c>
      <c r="C27" s="270">
        <f>B27</f>
        <v>0</v>
      </c>
      <c r="D27" s="269"/>
      <c r="I27" s="339" t="str">
        <f t="shared" si="2"/>
        <v>OK</v>
      </c>
      <c r="J27" s="272" t="s">
        <v>405</v>
      </c>
      <c r="L27" s="376">
        <v>1</v>
      </c>
      <c r="M27" s="377"/>
      <c r="N27" s="377"/>
      <c r="O27" s="377"/>
      <c r="P27" s="377"/>
      <c r="Q27" s="379"/>
      <c r="R27" s="379"/>
      <c r="S27" s="379"/>
      <c r="T27" s="380"/>
      <c r="U27" s="375"/>
      <c r="V27" s="375"/>
      <c r="W27" s="283"/>
      <c r="X27" s="283"/>
      <c r="Y27" s="274"/>
      <c r="Z27" s="274"/>
      <c r="AA27" s="274"/>
    </row>
    <row r="28" spans="1:27" ht="13.5" customHeight="1">
      <c r="A28" s="369" t="s">
        <v>204</v>
      </c>
      <c r="B28" s="348">
        <f>ACAH</f>
        <v>0</v>
      </c>
      <c r="D28" s="269">
        <f>B28</f>
        <v>0</v>
      </c>
      <c r="I28" s="339" t="str">
        <f t="shared" si="2"/>
        <v>OK</v>
      </c>
      <c r="J28" s="272" t="s">
        <v>405</v>
      </c>
      <c r="L28" s="381">
        <v>1</v>
      </c>
      <c r="M28" s="382"/>
      <c r="N28" s="382"/>
      <c r="O28" s="382"/>
      <c r="P28" s="382"/>
      <c r="Q28" s="383"/>
      <c r="R28" s="383"/>
      <c r="S28" s="383"/>
      <c r="T28" s="384"/>
      <c r="U28" s="375"/>
      <c r="V28" s="375"/>
      <c r="W28" s="283"/>
      <c r="X28" s="283"/>
      <c r="Y28" s="274"/>
      <c r="Z28" s="274"/>
      <c r="AA28" s="274"/>
    </row>
    <row r="29" spans="1:27" s="303" customFormat="1" ht="13.5" customHeight="1">
      <c r="A29" s="345" t="s">
        <v>418</v>
      </c>
      <c r="B29" s="346">
        <f>SUM(B30:B33)</f>
        <v>0</v>
      </c>
      <c r="C29" s="367" t="e">
        <f>SUM(C30:C33)</f>
        <v>#DIV/0!</v>
      </c>
      <c r="D29" s="346" t="e">
        <f>SUM(D30:D33)</f>
        <v>#DIV/0!</v>
      </c>
      <c r="E29" s="346">
        <f>SUM(E30:E33)</f>
        <v>0</v>
      </c>
      <c r="F29" s="346">
        <f>SUM(F30:F33)</f>
        <v>0</v>
      </c>
      <c r="G29" s="346"/>
      <c r="H29" s="346"/>
      <c r="I29" s="339" t="e">
        <f t="shared" si="2"/>
        <v>#DIV/0!</v>
      </c>
      <c r="J29" s="340"/>
      <c r="K29" s="273"/>
      <c r="L29" s="354"/>
      <c r="M29" s="354"/>
      <c r="N29" s="354"/>
      <c r="O29" s="354"/>
      <c r="P29" s="354"/>
      <c r="Q29" s="354"/>
      <c r="R29" s="354"/>
      <c r="S29" s="354"/>
      <c r="T29" s="354"/>
      <c r="U29" s="354"/>
      <c r="V29" s="354"/>
      <c r="W29" s="283"/>
      <c r="X29" s="283"/>
      <c r="Y29" s="368"/>
      <c r="Z29" s="368"/>
      <c r="AA29" s="368"/>
    </row>
    <row r="30" spans="1:27" ht="13.5" customHeight="1">
      <c r="A30" s="369" t="s">
        <v>419</v>
      </c>
      <c r="B30" s="348">
        <f>ADPU</f>
        <v>0</v>
      </c>
      <c r="C30" s="270">
        <f>IF(SAU-CP-CS&gt;0,ADPU/(SAU-CP-CS)*(SHCAP+CFCAP),0)</f>
        <v>0</v>
      </c>
      <c r="D30" s="269">
        <f>IF(SAU-CP-CS&gt;0,ADPU/(SAU-CP-CS)*((SH-SHCAP)+(CF-CFCAP)),0)</f>
        <v>0</v>
      </c>
      <c r="E30" s="269">
        <f>IF(SAU-CP-CS&gt;0,ADPU/(SAU-CP-CS)*(CV),0)</f>
        <v>0</v>
      </c>
      <c r="F30" s="269">
        <f>IF(CV&gt;0,E30*CVCAP/CV,0)</f>
        <v>0</v>
      </c>
      <c r="I30" s="339" t="str">
        <f t="shared" si="2"/>
        <v>OK</v>
      </c>
      <c r="J30" s="272" t="s">
        <v>420</v>
      </c>
      <c r="L30" s="370"/>
      <c r="M30" s="371"/>
      <c r="N30" s="371"/>
      <c r="O30" s="371"/>
      <c r="P30" s="371"/>
      <c r="Q30" s="373"/>
      <c r="R30" s="373">
        <v>1</v>
      </c>
      <c r="S30" s="373">
        <v>1</v>
      </c>
      <c r="T30" s="374">
        <v>1</v>
      </c>
      <c r="U30" s="385"/>
      <c r="V30" s="385"/>
      <c r="W30" s="386"/>
      <c r="X30" s="387"/>
      <c r="Y30" s="388" t="e">
        <f>B30/SAU</f>
        <v>#DIV/0!</v>
      </c>
      <c r="Z30" s="388" t="e">
        <f>Y30</f>
        <v>#DIV/0!</v>
      </c>
      <c r="AA30" s="389" t="e">
        <f>Z30</f>
        <v>#DIV/0!</v>
      </c>
    </row>
    <row r="31" spans="1:27" ht="13.5" customHeight="1">
      <c r="A31" s="369" t="s">
        <v>209</v>
      </c>
      <c r="B31" s="348">
        <f>IF(PHAE="",0,PHAE)</f>
        <v>0</v>
      </c>
      <c r="C31" s="270" t="e">
        <f>(SHCAP)*B31/((SHCAP)+Q31*(SH-SHCAP))</f>
        <v>#DIV/0!</v>
      </c>
      <c r="D31" s="269" t="e">
        <f>C31*Q31*(SH-SHCAP)/(SHCAP)</f>
        <v>#DIV/0!</v>
      </c>
      <c r="I31" s="339" t="e">
        <f t="shared" si="2"/>
        <v>#DIV/0!</v>
      </c>
      <c r="J31" s="272" t="s">
        <v>421</v>
      </c>
      <c r="L31" s="376">
        <v>1</v>
      </c>
      <c r="M31" s="377"/>
      <c r="N31" s="377"/>
      <c r="O31" s="377"/>
      <c r="P31" s="377"/>
      <c r="Q31" s="379">
        <v>1</v>
      </c>
      <c r="R31" s="379"/>
      <c r="S31" s="379"/>
      <c r="T31" s="380"/>
      <c r="U31" s="375"/>
      <c r="V31" s="375"/>
      <c r="W31" s="283"/>
      <c r="X31" s="283"/>
      <c r="Y31" s="274"/>
      <c r="Z31" s="274"/>
      <c r="AA31" s="274"/>
    </row>
    <row r="32" spans="1:27" ht="13.5" customHeight="1">
      <c r="A32" s="369" t="s">
        <v>212</v>
      </c>
      <c r="B32" s="348">
        <f>IF(CF=0,AIDANI+ACF,AIDANI)</f>
        <v>0</v>
      </c>
      <c r="C32" s="270" t="e">
        <f>(UGBCAP)*B32/((UGBCAP)+Q32*(UGBBL+UGBBV+UGBOV+UGBOL+UGBEQ))</f>
        <v>#DIV/0!</v>
      </c>
      <c r="D32" s="269" t="e">
        <f>C32*Q32*(UGBBL+UGBBV+UGBOV+UGBOL+UGBEQ)/(UGBCAP)</f>
        <v>#DIV/0!</v>
      </c>
      <c r="I32" s="339" t="e">
        <f t="shared" si="2"/>
        <v>#DIV/0!</v>
      </c>
      <c r="J32" s="272" t="s">
        <v>411</v>
      </c>
      <c r="L32" s="381">
        <v>1</v>
      </c>
      <c r="M32" s="382"/>
      <c r="N32" s="382"/>
      <c r="O32" s="382"/>
      <c r="P32" s="382"/>
      <c r="Q32" s="383">
        <v>1</v>
      </c>
      <c r="R32" s="383"/>
      <c r="S32" s="383"/>
      <c r="T32" s="384"/>
      <c r="U32" s="375"/>
      <c r="V32" s="375"/>
      <c r="W32" s="283"/>
      <c r="X32" s="283"/>
      <c r="Y32" s="274"/>
      <c r="Z32" s="274"/>
      <c r="AA32" s="274"/>
    </row>
    <row r="33" spans="1:27" s="41" customFormat="1" ht="16.5" customHeight="1">
      <c r="A33" s="390" t="s">
        <v>422</v>
      </c>
      <c r="B33" s="391">
        <f>AIDCV</f>
        <v>0</v>
      </c>
      <c r="C33" s="392"/>
      <c r="D33" s="393"/>
      <c r="E33" s="393">
        <f>B33</f>
        <v>0</v>
      </c>
      <c r="F33" s="269">
        <f>IF(CV&gt;0,E33*CVCAP/CV,0)</f>
        <v>0</v>
      </c>
      <c r="G33" s="269"/>
      <c r="H33" s="269"/>
      <c r="I33" s="339" t="str">
        <f t="shared" si="2"/>
        <v>OK</v>
      </c>
      <c r="J33" s="281"/>
      <c r="K33" s="394"/>
      <c r="L33" s="395"/>
      <c r="M33" s="395"/>
      <c r="N33" s="395"/>
      <c r="O33" s="395"/>
      <c r="P33" s="395"/>
      <c r="Q33" s="395"/>
      <c r="R33" s="395"/>
      <c r="S33" s="396"/>
      <c r="T33" s="396"/>
      <c r="U33" s="396"/>
      <c r="V33" s="396"/>
      <c r="W33" s="55"/>
      <c r="X33" s="55"/>
      <c r="Y33" s="397"/>
      <c r="Z33" s="397"/>
      <c r="AA33" s="397"/>
    </row>
    <row r="34" spans="1:27" ht="13.5" customHeight="1">
      <c r="A34" s="398" t="s">
        <v>423</v>
      </c>
      <c r="B34" s="399">
        <f aca="true" t="shared" si="3" ref="B34:H34">B35+B38+B42+B45+B48+B53+B57</f>
        <v>0</v>
      </c>
      <c r="C34" s="399" t="e">
        <f t="shared" si="3"/>
        <v>#DIV/0!</v>
      </c>
      <c r="D34" s="399" t="e">
        <f t="shared" si="3"/>
        <v>#DIV/0!</v>
      </c>
      <c r="E34" s="399" t="e">
        <f t="shared" si="3"/>
        <v>#N/A</v>
      </c>
      <c r="F34" s="399">
        <f t="shared" si="3"/>
        <v>0</v>
      </c>
      <c r="G34" s="399" t="e">
        <f t="shared" si="3"/>
        <v>#N/A</v>
      </c>
      <c r="H34" s="399" t="e">
        <f t="shared" si="3"/>
        <v>#N/A</v>
      </c>
      <c r="I34" s="339" t="e">
        <f>IF(ABS(B34-C34-D34-E34-G34-H34)&lt;0.000001,"OK","Pb")</f>
        <v>#DIV/0!</v>
      </c>
      <c r="J34" s="273"/>
      <c r="L34" s="354"/>
      <c r="M34" s="354"/>
      <c r="N34" s="354"/>
      <c r="O34" s="354"/>
      <c r="P34" s="354"/>
      <c r="Q34" s="354"/>
      <c r="R34" s="354"/>
      <c r="S34" s="400"/>
      <c r="T34" s="400"/>
      <c r="U34" s="400"/>
      <c r="V34" s="400"/>
      <c r="W34" s="401"/>
      <c r="X34" s="401"/>
      <c r="Y34" s="402"/>
      <c r="Z34" s="402"/>
      <c r="AA34" s="402"/>
    </row>
    <row r="35" spans="1:27" s="303" customFormat="1" ht="13.5" customHeight="1">
      <c r="A35" s="403" t="s">
        <v>424</v>
      </c>
      <c r="B35" s="404">
        <f>B36+B37</f>
        <v>0</v>
      </c>
      <c r="C35" s="405" t="e">
        <f>C36+C37</f>
        <v>#DIV/0!</v>
      </c>
      <c r="D35" s="404" t="e">
        <f>D36+D37</f>
        <v>#DIV/0!</v>
      </c>
      <c r="E35" s="404"/>
      <c r="F35" s="406"/>
      <c r="G35" s="407"/>
      <c r="H35" s="407"/>
      <c r="I35" s="339" t="e">
        <f aca="true" t="shared" si="4" ref="I35:I44">IF(ABS(B35-C35-D35-E35)&lt;0.000001,"OK","Pb")</f>
        <v>#DIV/0!</v>
      </c>
      <c r="J35" s="272"/>
      <c r="K35" s="273"/>
      <c r="L35" s="375"/>
      <c r="M35" s="375"/>
      <c r="N35" s="375"/>
      <c r="O35" s="375"/>
      <c r="P35" s="375"/>
      <c r="Q35" s="375"/>
      <c r="R35" s="375"/>
      <c r="S35" s="375"/>
      <c r="T35" s="375"/>
      <c r="U35" s="375"/>
      <c r="V35" s="375"/>
      <c r="W35" s="283"/>
      <c r="X35" s="283"/>
      <c r="Y35" s="356"/>
      <c r="Z35" s="356"/>
      <c r="AA35" s="356"/>
    </row>
    <row r="36" spans="1:27" ht="13.5" customHeight="1">
      <c r="A36" s="369" t="s">
        <v>425</v>
      </c>
      <c r="B36" s="348">
        <f>CM+POUD</f>
        <v>0</v>
      </c>
      <c r="C36" s="270">
        <f>CMCAP+POUDCAP</f>
        <v>0</v>
      </c>
      <c r="D36" s="269">
        <f>B36-C36</f>
        <v>0</v>
      </c>
      <c r="I36" s="339" t="str">
        <f t="shared" si="4"/>
        <v>OK</v>
      </c>
      <c r="J36" s="272" t="s">
        <v>405</v>
      </c>
      <c r="L36" s="370">
        <v>1</v>
      </c>
      <c r="M36" s="371"/>
      <c r="N36" s="371"/>
      <c r="O36" s="371"/>
      <c r="P36" s="371"/>
      <c r="Q36" s="373"/>
      <c r="R36" s="373"/>
      <c r="S36" s="373"/>
      <c r="T36" s="374"/>
      <c r="U36" s="375"/>
      <c r="V36" s="375"/>
      <c r="W36" s="283"/>
      <c r="X36" s="283"/>
      <c r="Y36" s="274"/>
      <c r="Z36" s="274"/>
      <c r="AA36" s="274"/>
    </row>
    <row r="37" spans="1:27" ht="13.5" customHeight="1">
      <c r="A37" s="369" t="s">
        <v>230</v>
      </c>
      <c r="B37" s="348">
        <f>ACFOU</f>
        <v>0</v>
      </c>
      <c r="C37" s="270" t="e">
        <f>IF(ACFOUCAP&lt;&gt;"",ACFOUCAP,ACFOU*UGBCAP/(UGBCAP+UGBBV+UGBBL+UGBOV+UGBOL+UGBEQ))</f>
        <v>#DIV/0!</v>
      </c>
      <c r="D37" s="269" t="e">
        <f>B37-C37</f>
        <v>#DIV/0!</v>
      </c>
      <c r="I37" s="339" t="e">
        <f t="shared" si="4"/>
        <v>#DIV/0!</v>
      </c>
      <c r="J37" s="272" t="s">
        <v>426</v>
      </c>
      <c r="L37" s="381">
        <v>1</v>
      </c>
      <c r="M37" s="382"/>
      <c r="N37" s="382"/>
      <c r="O37" s="382"/>
      <c r="P37" s="382"/>
      <c r="Q37" s="383">
        <v>1</v>
      </c>
      <c r="R37" s="383"/>
      <c r="S37" s="383"/>
      <c r="T37" s="384"/>
      <c r="U37" s="375"/>
      <c r="V37" s="375"/>
      <c r="W37" s="283"/>
      <c r="X37" s="283"/>
      <c r="Y37" s="274"/>
      <c r="Z37" s="274"/>
      <c r="AA37" s="274"/>
    </row>
    <row r="38" spans="1:27" ht="13.5" customHeight="1">
      <c r="A38" s="403" t="s">
        <v>427</v>
      </c>
      <c r="B38" s="404">
        <f>SUM(B39:B41)</f>
        <v>0</v>
      </c>
      <c r="C38" s="405">
        <f>SUM(C39:C41)</f>
        <v>0</v>
      </c>
      <c r="D38" s="404" t="e">
        <f>SUM(D39:D41)</f>
        <v>#N/A</v>
      </c>
      <c r="E38" s="404" t="e">
        <f>SUM(E39:E41)</f>
        <v>#N/A</v>
      </c>
      <c r="F38" s="406">
        <f>SUM(F39:F41)</f>
        <v>0</v>
      </c>
      <c r="G38" s="407"/>
      <c r="H38" s="407"/>
      <c r="I38" s="339" t="e">
        <f t="shared" si="4"/>
        <v>#N/A</v>
      </c>
      <c r="J38" s="340"/>
      <c r="L38" s="375"/>
      <c r="M38" s="375"/>
      <c r="N38" s="375"/>
      <c r="O38" s="375"/>
      <c r="P38" s="375"/>
      <c r="Q38" s="375"/>
      <c r="R38" s="375"/>
      <c r="S38" s="375"/>
      <c r="T38" s="375"/>
      <c r="U38" s="375"/>
      <c r="V38" s="375"/>
      <c r="W38" s="283"/>
      <c r="X38" s="283"/>
      <c r="Y38" s="274"/>
      <c r="Z38" s="274"/>
      <c r="AA38" s="274"/>
    </row>
    <row r="39" spans="1:27" ht="13.5" customHeight="1">
      <c r="A39" s="369" t="s">
        <v>235</v>
      </c>
      <c r="B39" s="348">
        <f>ENGA</f>
        <v>0</v>
      </c>
      <c r="C39" s="270">
        <f>IF(UGBBL+UGBBV+UGBOV+UGBOL+UGBEQ=0,ENGASH+ENGACF,Y39*SHCAP+Z39*CFCAP)</f>
        <v>0</v>
      </c>
      <c r="D39" s="269" t="e">
        <f>Y39*(SH-SHCAP)+Z39*(CF-CFCAP)</f>
        <v>#N/A</v>
      </c>
      <c r="E39" s="269" t="e">
        <f>ENGA-C39-D39</f>
        <v>#N/A</v>
      </c>
      <c r="F39" s="269">
        <f>IF(ENGACINTCAP&lt;&gt;"",ENGACINTCAP,IF(CV&gt;0,E39*CVCAP/CV,0))</f>
        <v>0</v>
      </c>
      <c r="I39" s="339" t="e">
        <f t="shared" si="4"/>
        <v>#N/A</v>
      </c>
      <c r="J39" s="365" t="s">
        <v>413</v>
      </c>
      <c r="L39" s="350"/>
      <c r="M39" s="351"/>
      <c r="N39" s="351"/>
      <c r="O39" s="351"/>
      <c r="P39" s="351"/>
      <c r="Q39" s="352"/>
      <c r="R39" s="352">
        <v>1</v>
      </c>
      <c r="S39" s="352" t="e">
        <f>VLOOKUP(Cuisine!$I$63,Cle_MF,3,FALSE)</f>
        <v>#N/A</v>
      </c>
      <c r="T39" s="353" t="e">
        <f>VLOOKUP(Cuisine!$J$63,Cle_GCU,3,FALSE)</f>
        <v>#N/A</v>
      </c>
      <c r="U39" s="408"/>
      <c r="V39" s="408"/>
      <c r="W39" s="409"/>
      <c r="X39" s="410"/>
      <c r="Y39" s="411" t="e">
        <f>IF(AND(ENGASH&lt;&gt;"",ENGACF&lt;&gt;"",SH&gt;0),ENGASH/SH,B39/(SH+CF*S39+CV*T39))</f>
        <v>#N/A</v>
      </c>
      <c r="Z39" s="411" t="e">
        <f>IF(AND(ENGASH&lt;&gt;"",ENGACF&lt;&gt;"",CF&gt;0),ENGACF/CF,Y39*S39)</f>
        <v>#N/A</v>
      </c>
      <c r="AA39" s="412" t="e">
        <f>IF(AND(ENGACF&lt;&gt;"",ENGASH&lt;&gt;"",CV&gt;0),(ENGA-ENGASH-ENGACF)/CV,Y39*T39)</f>
        <v>#N/A</v>
      </c>
    </row>
    <row r="40" spans="1:27" ht="13.5" customHeight="1">
      <c r="A40" s="369" t="s">
        <v>242</v>
      </c>
      <c r="B40" s="348">
        <f>SEM</f>
        <v>0</v>
      </c>
      <c r="C40" s="270">
        <f>IF(UGBBL+UGBBV+UGBOV+UGBOL+UGBEQ=0,SEMSH+SEMCF,Y40*SHCAP+Z40*CFCAP)</f>
        <v>0</v>
      </c>
      <c r="D40" s="269" t="e">
        <f>Y40*(SH-SHCAP)+Z40*(CF-CFCAP)</f>
        <v>#N/A</v>
      </c>
      <c r="E40" s="269" t="e">
        <f>SEM-D40-C40</f>
        <v>#N/A</v>
      </c>
      <c r="F40" s="269">
        <f>IF(SEMCINTCAP&lt;&gt;"",SEMCINTCAP,IF(CV&gt;0,E40*CVCAP/CV,0))</f>
        <v>0</v>
      </c>
      <c r="I40" s="339" t="e">
        <f t="shared" si="4"/>
        <v>#N/A</v>
      </c>
      <c r="J40" s="365" t="s">
        <v>413</v>
      </c>
      <c r="L40" s="357"/>
      <c r="M40" s="358"/>
      <c r="N40" s="358"/>
      <c r="O40" s="358"/>
      <c r="P40" s="358"/>
      <c r="Q40" s="359"/>
      <c r="R40" s="359">
        <f aca="true" t="shared" si="5" ref="R40:T41">R39</f>
        <v>1</v>
      </c>
      <c r="S40" s="359" t="e">
        <f t="shared" si="5"/>
        <v>#N/A</v>
      </c>
      <c r="T40" s="360" t="e">
        <f t="shared" si="5"/>
        <v>#N/A</v>
      </c>
      <c r="U40" s="413"/>
      <c r="V40" s="413"/>
      <c r="W40" s="414"/>
      <c r="X40" s="415"/>
      <c r="Y40" s="416" t="e">
        <f>IF(AND(SEMSH&lt;&gt;"",SEMCF&lt;&gt;"",SH&gt;0),SEMSH/SH,B40/(SH+CF*S40+CV*T40))</f>
        <v>#N/A</v>
      </c>
      <c r="Z40" s="416" t="e">
        <f>IF(AND(SEMSH&lt;&gt;"",SEMCF&lt;&gt;"",CF&gt;0),SEMCF/CF,Y40*S40)</f>
        <v>#N/A</v>
      </c>
      <c r="AA40" s="417" t="e">
        <f>IF(AND(SEMCF&lt;&gt;"",SEMSH&lt;&gt;"",CV&gt;0),(SEM-SEMSH-SEMCF)/CV,Y40*T40)</f>
        <v>#N/A</v>
      </c>
    </row>
    <row r="41" spans="1:27" ht="13.5" customHeight="1">
      <c r="A41" s="369" t="s">
        <v>247</v>
      </c>
      <c r="B41" s="348">
        <f>ACVEG</f>
        <v>0</v>
      </c>
      <c r="C41" s="270">
        <f>IF(UGBBL+UGBBV+UGBOV+UGBOL+UGBEQ=0,ACVEGSH+ACVEGCF,Y41*SHCAP+Z41*CFCAP)</f>
        <v>0</v>
      </c>
      <c r="D41" s="269" t="e">
        <f>Y41*(SH-SHCAP)+Z41*(CF-CFCAP)</f>
        <v>#N/A</v>
      </c>
      <c r="E41" s="269" t="e">
        <f>ACVEG-C41-D41</f>
        <v>#N/A</v>
      </c>
      <c r="F41" s="269">
        <f>IF(ACCINTCAP&lt;&gt;"",ACCINTCAP,IF(CV&gt;0,E41*CVCAP/CV,0))</f>
        <v>0</v>
      </c>
      <c r="I41" s="339" t="e">
        <f t="shared" si="4"/>
        <v>#N/A</v>
      </c>
      <c r="J41" s="365" t="s">
        <v>413</v>
      </c>
      <c r="L41" s="366"/>
      <c r="M41" s="418"/>
      <c r="N41" s="418"/>
      <c r="O41" s="418"/>
      <c r="P41" s="418"/>
      <c r="Q41" s="419"/>
      <c r="R41" s="419">
        <f t="shared" si="5"/>
        <v>1</v>
      </c>
      <c r="S41" s="419" t="e">
        <f t="shared" si="5"/>
        <v>#N/A</v>
      </c>
      <c r="T41" s="420" t="e">
        <f t="shared" si="5"/>
        <v>#N/A</v>
      </c>
      <c r="U41" s="421"/>
      <c r="V41" s="421"/>
      <c r="W41" s="422"/>
      <c r="X41" s="423"/>
      <c r="Y41" s="424" t="e">
        <f>IF(AND(ACVEGSH&lt;&gt;"",ACVEGCF&lt;&gt;"",SH&gt;0),ACVEGSH/SH,B41/(SH+CF*S41+CV*T41))</f>
        <v>#N/A</v>
      </c>
      <c r="Z41" s="424" t="e">
        <f>IF(AND(ACVEGSH&lt;&gt;"",ACVEGCF&lt;&gt;"",CF&gt;0),ACVEGCF/CF,Y41*S41)</f>
        <v>#N/A</v>
      </c>
      <c r="AA41" s="425" t="e">
        <f>IF(AND(ACVEGCF&lt;&gt;"",ACVEGSH&lt;&gt;"",CV&gt;0),(ACVEG-ACVEGSH-ACVEGCF)/CV,Y41*T41)</f>
        <v>#N/A</v>
      </c>
    </row>
    <row r="42" spans="1:27" ht="13.5" customHeight="1">
      <c r="A42" s="403" t="s">
        <v>428</v>
      </c>
      <c r="B42" s="404">
        <f>SUM(B43:B44)</f>
        <v>0</v>
      </c>
      <c r="C42" s="405" t="e">
        <f>SUM(C43:C44)</f>
        <v>#DIV/0!</v>
      </c>
      <c r="D42" s="404" t="e">
        <f>SUM(D43:D44)</f>
        <v>#DIV/0!</v>
      </c>
      <c r="E42" s="404"/>
      <c r="F42" s="406"/>
      <c r="G42" s="407"/>
      <c r="H42" s="407"/>
      <c r="I42" s="339" t="e">
        <f t="shared" si="4"/>
        <v>#DIV/0!</v>
      </c>
      <c r="J42" s="426">
        <f>$J$38</f>
        <v>0</v>
      </c>
      <c r="L42" s="354"/>
      <c r="M42" s="354"/>
      <c r="N42" s="354"/>
      <c r="O42" s="354"/>
      <c r="P42" s="354"/>
      <c r="Q42" s="354"/>
      <c r="R42" s="354"/>
      <c r="S42" s="354"/>
      <c r="T42" s="354"/>
      <c r="U42" s="354"/>
      <c r="V42" s="354"/>
      <c r="W42" s="283"/>
      <c r="X42" s="283"/>
      <c r="Y42" s="274"/>
      <c r="Z42" s="274"/>
      <c r="AA42" s="274"/>
    </row>
    <row r="43" spans="1:27" ht="13.5" customHeight="1">
      <c r="A43" s="369" t="s">
        <v>252</v>
      </c>
      <c r="B43" s="348">
        <f>FELV</f>
        <v>0</v>
      </c>
      <c r="C43" s="270" t="e">
        <f>IF(FELVCAP&lt;&gt;"",FELVCAP,FELV*UGBCAP/(UGBCAP+UGBBL+UGBEQ+UGBBV+UGBOV+UGBOL))</f>
        <v>#DIV/0!</v>
      </c>
      <c r="D43" s="269" t="e">
        <f>B43-C43</f>
        <v>#DIV/0!</v>
      </c>
      <c r="I43" s="339" t="e">
        <f t="shared" si="4"/>
        <v>#DIV/0!</v>
      </c>
      <c r="J43" s="272" t="s">
        <v>429</v>
      </c>
      <c r="L43" s="350"/>
      <c r="M43" s="351"/>
      <c r="N43" s="351"/>
      <c r="O43" s="351"/>
      <c r="P43" s="351"/>
      <c r="Q43" s="352">
        <f>IF(ISERROR(VLOOKUP(BVsys,Cle_BV,4,FALSE)),0,VLOOKUP(BVsys,Cle_BV,4,FALSE))</f>
        <v>0</v>
      </c>
      <c r="R43" s="352"/>
      <c r="S43" s="352"/>
      <c r="T43" s="353"/>
      <c r="U43" s="354"/>
      <c r="V43" s="354"/>
      <c r="W43" s="283"/>
      <c r="X43" s="283"/>
      <c r="Y43" s="274"/>
      <c r="Z43" s="274"/>
      <c r="AA43" s="274"/>
    </row>
    <row r="44" spans="1:27" ht="13.5" customHeight="1">
      <c r="A44" s="369" t="s">
        <v>258</v>
      </c>
      <c r="B44" s="348">
        <f>FELA</f>
        <v>0</v>
      </c>
      <c r="C44" s="270" t="e">
        <f>IF(FELACAP&lt;&gt;"",FELACAP,FELA*UGBCAP/(UGBCAP+UGBBL+UGBBV+UGBOV+UGBOL+UGBEQ))</f>
        <v>#DIV/0!</v>
      </c>
      <c r="D44" s="269" t="e">
        <f>B44-C44</f>
        <v>#DIV/0!</v>
      </c>
      <c r="I44" s="339" t="e">
        <f t="shared" si="4"/>
        <v>#DIV/0!</v>
      </c>
      <c r="J44" s="272" t="s">
        <v>429</v>
      </c>
      <c r="L44" s="366"/>
      <c r="M44" s="418"/>
      <c r="N44" s="418"/>
      <c r="O44" s="418"/>
      <c r="P44" s="418"/>
      <c r="Q44" s="419">
        <f>Q43</f>
        <v>0</v>
      </c>
      <c r="R44" s="419"/>
      <c r="S44" s="419"/>
      <c r="T44" s="420"/>
      <c r="U44" s="354"/>
      <c r="V44" s="354"/>
      <c r="W44" s="283"/>
      <c r="X44" s="283"/>
      <c r="Y44" s="274"/>
      <c r="Z44" s="274"/>
      <c r="AA44" s="274"/>
    </row>
    <row r="45" spans="1:27" ht="13.5" customHeight="1">
      <c r="A45" s="427" t="s">
        <v>430</v>
      </c>
      <c r="B45" s="428">
        <f>SUM(B46:B47)</f>
        <v>0</v>
      </c>
      <c r="C45" s="428">
        <f>SUM(C46:C47)</f>
        <v>0</v>
      </c>
      <c r="D45" s="428">
        <f>SUM(D46:D47)</f>
        <v>0</v>
      </c>
      <c r="E45" s="428"/>
      <c r="F45" s="429"/>
      <c r="G45" s="429"/>
      <c r="H45" s="429"/>
      <c r="I45" s="339" t="str">
        <f aca="true" t="shared" si="6" ref="I45:I68">IF(ABS(B45-C45-D45-E45-G45-H45)&lt;0.000001,"OK","Pb")</f>
        <v>OK</v>
      </c>
      <c r="L45" s="375"/>
      <c r="M45" s="375"/>
      <c r="N45" s="375"/>
      <c r="O45" s="375"/>
      <c r="P45" s="375"/>
      <c r="Q45" s="375"/>
      <c r="R45" s="375"/>
      <c r="S45" s="375"/>
      <c r="T45" s="375"/>
      <c r="U45" s="375"/>
      <c r="V45" s="375"/>
      <c r="W45" s="283"/>
      <c r="X45" s="283"/>
      <c r="Y45" s="274"/>
      <c r="Z45" s="274"/>
      <c r="AA45" s="274"/>
    </row>
    <row r="46" spans="1:33" ht="13.5" customHeight="1">
      <c r="A46" s="369" t="s">
        <v>431</v>
      </c>
      <c r="B46" s="348">
        <f>FTRANS</f>
        <v>0</v>
      </c>
      <c r="C46" s="270">
        <f>FTRANSCAP</f>
        <v>0</v>
      </c>
      <c r="D46" s="269">
        <f>B46-C46</f>
        <v>0</v>
      </c>
      <c r="I46" s="339" t="str">
        <f t="shared" si="6"/>
        <v>OK</v>
      </c>
      <c r="J46" s="272" t="s">
        <v>429</v>
      </c>
      <c r="L46" s="354"/>
      <c r="M46" s="354"/>
      <c r="N46" s="354"/>
      <c r="O46" s="354"/>
      <c r="P46" s="354"/>
      <c r="Q46" s="354"/>
      <c r="R46" s="354"/>
      <c r="S46" s="354"/>
      <c r="T46" s="354"/>
      <c r="U46" s="354"/>
      <c r="V46" s="354"/>
      <c r="W46" s="1368" t="s">
        <v>432</v>
      </c>
      <c r="X46" s="1368"/>
      <c r="Y46" s="1368"/>
      <c r="Z46" s="1368"/>
      <c r="AA46" s="1368"/>
      <c r="AB46" s="1368"/>
      <c r="AC46" s="1368" t="s">
        <v>399</v>
      </c>
      <c r="AD46" s="1368"/>
      <c r="AE46" s="1368"/>
      <c r="AF46" s="1368"/>
      <c r="AG46" s="1368"/>
    </row>
    <row r="47" spans="1:33" ht="13.5" customHeight="1">
      <c r="A47" s="369" t="s">
        <v>266</v>
      </c>
      <c r="B47" s="348">
        <f>FCOM</f>
        <v>0</v>
      </c>
      <c r="C47" s="270">
        <f>FCOMCAP</f>
        <v>0</v>
      </c>
      <c r="D47" s="269">
        <f>B47-C47</f>
        <v>0</v>
      </c>
      <c r="I47" s="339" t="str">
        <f t="shared" si="6"/>
        <v>OK</v>
      </c>
      <c r="J47" s="272" t="s">
        <v>429</v>
      </c>
      <c r="L47" s="354"/>
      <c r="M47" s="354"/>
      <c r="N47" s="354"/>
      <c r="O47" s="354"/>
      <c r="P47" s="354"/>
      <c r="Q47" s="354"/>
      <c r="R47" s="354"/>
      <c r="S47" s="354"/>
      <c r="T47" s="354"/>
      <c r="U47" s="354"/>
      <c r="V47" s="354"/>
      <c r="W47" s="430" t="s">
        <v>394</v>
      </c>
      <c r="X47" s="431" t="s">
        <v>395</v>
      </c>
      <c r="Y47" s="319" t="s">
        <v>396</v>
      </c>
      <c r="Z47" s="319" t="s">
        <v>397</v>
      </c>
      <c r="AA47" s="319" t="s">
        <v>433</v>
      </c>
      <c r="AB47" s="319" t="s">
        <v>398</v>
      </c>
      <c r="AC47" s="432" t="s">
        <v>140</v>
      </c>
      <c r="AD47" s="319" t="s">
        <v>145</v>
      </c>
      <c r="AE47" s="320" t="s">
        <v>149</v>
      </c>
      <c r="AF47" s="320" t="s">
        <v>154</v>
      </c>
      <c r="AG47" s="320" t="s">
        <v>156</v>
      </c>
    </row>
    <row r="48" spans="1:33" ht="13.5" customHeight="1">
      <c r="A48" s="427" t="s">
        <v>434</v>
      </c>
      <c r="B48" s="428">
        <f aca="true" t="shared" si="7" ref="B48:H48">SUM(B49:B52)</f>
        <v>0</v>
      </c>
      <c r="C48" s="433" t="e">
        <f t="shared" si="7"/>
        <v>#N/A</v>
      </c>
      <c r="D48" s="428" t="e">
        <f t="shared" si="7"/>
        <v>#N/A</v>
      </c>
      <c r="E48" s="428" t="e">
        <f t="shared" si="7"/>
        <v>#N/A</v>
      </c>
      <c r="F48" s="429">
        <f t="shared" si="7"/>
        <v>0</v>
      </c>
      <c r="G48" s="429" t="e">
        <f t="shared" si="7"/>
        <v>#N/A</v>
      </c>
      <c r="H48" s="429" t="e">
        <f t="shared" si="7"/>
        <v>#N/A</v>
      </c>
      <c r="I48" s="339" t="e">
        <f t="shared" si="6"/>
        <v>#N/A</v>
      </c>
      <c r="L48" s="434"/>
      <c r="M48" s="434"/>
      <c r="N48" s="434"/>
      <c r="O48" s="434"/>
      <c r="P48" s="434"/>
      <c r="Q48" s="434"/>
      <c r="R48" s="434"/>
      <c r="S48" s="434"/>
      <c r="T48" s="434"/>
      <c r="U48" s="375"/>
      <c r="V48" s="375"/>
      <c r="W48" s="435" t="s">
        <v>435</v>
      </c>
      <c r="X48" s="335" t="s">
        <v>435</v>
      </c>
      <c r="Y48" s="335" t="s">
        <v>435</v>
      </c>
      <c r="Z48" s="335" t="s">
        <v>435</v>
      </c>
      <c r="AA48" s="335" t="s">
        <v>435</v>
      </c>
      <c r="AB48" s="335" t="s">
        <v>435</v>
      </c>
      <c r="AC48" s="335" t="s">
        <v>317</v>
      </c>
      <c r="AD48" s="335" t="s">
        <v>317</v>
      </c>
      <c r="AE48" s="336" t="s">
        <v>317</v>
      </c>
      <c r="AF48" s="336" t="s">
        <v>317</v>
      </c>
      <c r="AG48" s="336" t="s">
        <v>317</v>
      </c>
    </row>
    <row r="49" spans="1:33" ht="13.5" customHeight="1">
      <c r="A49" s="369" t="s">
        <v>436</v>
      </c>
      <c r="B49" s="348">
        <f>TPT</f>
        <v>0</v>
      </c>
      <c r="C49" s="270" t="e">
        <f>AA49*UGBCAP+AC49*$N$6+AD49*$O$6</f>
        <v>#N/A</v>
      </c>
      <c r="D49" s="269" t="e">
        <f>(W49*UGBBL)+(X49*UGBBV)+(Y49*UGBOV)+(UGBOL*Z49)+(UGBEQ*AB49)+AC49*$N$7+AD49*$O$7</f>
        <v>#N/A</v>
      </c>
      <c r="E49" s="269" t="e">
        <f>AE49*CV</f>
        <v>#N/A</v>
      </c>
      <c r="F49" s="269">
        <f>IF(CV&gt;0,E49*CVCAP/CV,0)</f>
        <v>0</v>
      </c>
      <c r="G49" s="269" t="e">
        <f>AF49*CP</f>
        <v>#N/A</v>
      </c>
      <c r="H49" s="269" t="e">
        <f>AG49*CS</f>
        <v>#N/A</v>
      </c>
      <c r="I49" s="339" t="e">
        <f t="shared" si="6"/>
        <v>#N/A</v>
      </c>
      <c r="J49" s="365" t="s">
        <v>413</v>
      </c>
      <c r="L49" s="350">
        <f>Cuisine!B64</f>
        <v>1</v>
      </c>
      <c r="M49" s="350">
        <f>Cuisine!C64</f>
        <v>0</v>
      </c>
      <c r="N49" s="350">
        <f>Cuisine!D64</f>
        <v>0</v>
      </c>
      <c r="O49" s="350">
        <f>Cuisine!E64</f>
        <v>0</v>
      </c>
      <c r="P49" s="350">
        <f>Cuisine!F64</f>
        <v>0</v>
      </c>
      <c r="Q49" s="350">
        <f>Cuisine!G64</f>
        <v>0</v>
      </c>
      <c r="R49" s="350">
        <f>Cuisine!H64</f>
        <v>0</v>
      </c>
      <c r="S49" s="350" t="e">
        <f>Cuisine!I64</f>
        <v>#N/A</v>
      </c>
      <c r="T49" s="350" t="e">
        <f>Cuisine!J64</f>
        <v>#N/A</v>
      </c>
      <c r="U49" s="350">
        <f>Cuisine!K64</f>
        <v>3.777985300695104</v>
      </c>
      <c r="V49" s="350">
        <f>Cuisine!L64</f>
        <v>1.8458253176262038</v>
      </c>
      <c r="W49" s="436" t="e">
        <f>B49*L49/($L$11*$L49+$M$11*M49+$N$11*N49+$O$11*O49+$P$11*$P49+$Q$11*$Q49+$R$11*R49+$S$11*S49+$T$11*T49+$U$11*U49+$V$11*V49)</f>
        <v>#N/A</v>
      </c>
      <c r="X49" s="437" t="e">
        <f>W49/$L49*M49</f>
        <v>#N/A</v>
      </c>
      <c r="Y49" s="437" t="e">
        <f>W49/$L49*N49</f>
        <v>#N/A</v>
      </c>
      <c r="Z49" s="437" t="e">
        <f>W49/$L49*O49</f>
        <v>#N/A</v>
      </c>
      <c r="AA49" s="437" t="e">
        <f>W49/$L49*P49</f>
        <v>#N/A</v>
      </c>
      <c r="AB49" s="437" t="e">
        <f>W49/$L49*Q49</f>
        <v>#N/A</v>
      </c>
      <c r="AC49" s="437" t="e">
        <f>W49/$L49*R49</f>
        <v>#N/A</v>
      </c>
      <c r="AD49" s="437" t="e">
        <f>W49/$L49*S49</f>
        <v>#N/A</v>
      </c>
      <c r="AE49" s="437" t="e">
        <f>W49/$L49*T49</f>
        <v>#N/A</v>
      </c>
      <c r="AF49" s="437" t="e">
        <f>W49/$L49*U49</f>
        <v>#N/A</v>
      </c>
      <c r="AG49" s="438" t="e">
        <f>W49/$L49*V49</f>
        <v>#N/A</v>
      </c>
    </row>
    <row r="50" spans="1:33" ht="13.5" customHeight="1">
      <c r="A50" s="369" t="s">
        <v>273</v>
      </c>
      <c r="B50" s="348">
        <f>CARBU</f>
        <v>0</v>
      </c>
      <c r="C50" s="270" t="e">
        <f>AA50*UGBCAP+AC50*$N$6+AD50*$O$6</f>
        <v>#N/A</v>
      </c>
      <c r="D50" s="269" t="e">
        <f>(W50*UGBBL)+(X50*UGBBV)+(Y50*UGBOV)+(UGBOL*Z50)+(UGBEQ*AB50)+AC50*$N$7+AD50*$O$7</f>
        <v>#N/A</v>
      </c>
      <c r="E50" s="269" t="e">
        <f>AE50*CV</f>
        <v>#N/A</v>
      </c>
      <c r="F50" s="269">
        <f>IF(CV&gt;0,E50*CVCAP/CV,0)</f>
        <v>0</v>
      </c>
      <c r="G50" s="269" t="e">
        <f>AF50*CP</f>
        <v>#N/A</v>
      </c>
      <c r="H50" s="269" t="e">
        <f>AG50*CS</f>
        <v>#N/A</v>
      </c>
      <c r="I50" s="339" t="e">
        <f t="shared" si="6"/>
        <v>#N/A</v>
      </c>
      <c r="J50" s="365" t="s">
        <v>413</v>
      </c>
      <c r="L50" s="357">
        <f aca="true" t="shared" si="8" ref="L50:V50">L49</f>
        <v>1</v>
      </c>
      <c r="M50" s="357">
        <f t="shared" si="8"/>
        <v>0</v>
      </c>
      <c r="N50" s="357">
        <f t="shared" si="8"/>
        <v>0</v>
      </c>
      <c r="O50" s="357">
        <f t="shared" si="8"/>
        <v>0</v>
      </c>
      <c r="P50" s="357">
        <f t="shared" si="8"/>
        <v>0</v>
      </c>
      <c r="Q50" s="357">
        <f t="shared" si="8"/>
        <v>0</v>
      </c>
      <c r="R50" s="357">
        <f t="shared" si="8"/>
        <v>0</v>
      </c>
      <c r="S50" s="357" t="e">
        <f t="shared" si="8"/>
        <v>#N/A</v>
      </c>
      <c r="T50" s="357" t="e">
        <f t="shared" si="8"/>
        <v>#N/A</v>
      </c>
      <c r="U50" s="357">
        <f t="shared" si="8"/>
        <v>3.777985300695104</v>
      </c>
      <c r="V50" s="357">
        <f t="shared" si="8"/>
        <v>1.8458253176262038</v>
      </c>
      <c r="W50" s="436" t="e">
        <f>B50*L50/($L$11*$L50+$M$11*M50+$N$11*N50+$O$11*O50+$P$11*$P50+$Q$11*$Q50+$R$11*R50+$S$11*S50+$T$11*T50+$U$11*U50+$V$11*V50)</f>
        <v>#N/A</v>
      </c>
      <c r="X50" s="439" t="e">
        <f>W50/$L50*M50</f>
        <v>#N/A</v>
      </c>
      <c r="Y50" s="439" t="e">
        <f>W50/$L50*N50</f>
        <v>#N/A</v>
      </c>
      <c r="Z50" s="439" t="e">
        <f>W50/$L50*O50</f>
        <v>#N/A</v>
      </c>
      <c r="AA50" s="439" t="e">
        <f>W50/$L50*P50</f>
        <v>#N/A</v>
      </c>
      <c r="AB50" s="439" t="e">
        <f>W50/$L50*Q50</f>
        <v>#N/A</v>
      </c>
      <c r="AC50" s="439" t="e">
        <f>W50/$L50*R50</f>
        <v>#N/A</v>
      </c>
      <c r="AD50" s="439" t="e">
        <f>W50/$L50*S50</f>
        <v>#N/A</v>
      </c>
      <c r="AE50" s="439" t="e">
        <f>W50/$L50*T50</f>
        <v>#N/A</v>
      </c>
      <c r="AF50" s="439" t="e">
        <f>W50/$L50*U50</f>
        <v>#N/A</v>
      </c>
      <c r="AG50" s="440" t="e">
        <f>W50/$L50*V50</f>
        <v>#N/A</v>
      </c>
    </row>
    <row r="51" spans="1:33" ht="13.5" customHeight="1">
      <c r="A51" s="369" t="s">
        <v>276</v>
      </c>
      <c r="B51" s="348">
        <f>ENTMAT</f>
        <v>0</v>
      </c>
      <c r="C51" s="270" t="e">
        <f>AA51*UGBCAP+AC51*$N$6+AD51*$O$6</f>
        <v>#N/A</v>
      </c>
      <c r="D51" s="269" t="e">
        <f>(W51*UGBBL)+(X51*UGBBV)+(Y51*UGBOV)+(UGBOL*Z51)+(UGBEQ*AB51)+AC51*$N$7+AD51*$O$7</f>
        <v>#N/A</v>
      </c>
      <c r="E51" s="269" t="e">
        <f>AE51*CV</f>
        <v>#N/A</v>
      </c>
      <c r="F51" s="269">
        <f>IF(CV&gt;0,E51*CVCAP/CV,0)</f>
        <v>0</v>
      </c>
      <c r="G51" s="269" t="e">
        <f>AF51*CP</f>
        <v>#N/A</v>
      </c>
      <c r="H51" s="269" t="e">
        <f>AG51*CS</f>
        <v>#N/A</v>
      </c>
      <c r="I51" s="339" t="e">
        <f t="shared" si="6"/>
        <v>#N/A</v>
      </c>
      <c r="J51" s="365" t="s">
        <v>413</v>
      </c>
      <c r="L51" s="357">
        <f aca="true" t="shared" si="9" ref="L51:V51">L49</f>
        <v>1</v>
      </c>
      <c r="M51" s="357">
        <f t="shared" si="9"/>
        <v>0</v>
      </c>
      <c r="N51" s="357">
        <f t="shared" si="9"/>
        <v>0</v>
      </c>
      <c r="O51" s="357">
        <f t="shared" si="9"/>
        <v>0</v>
      </c>
      <c r="P51" s="357">
        <f t="shared" si="9"/>
        <v>0</v>
      </c>
      <c r="Q51" s="357">
        <f t="shared" si="9"/>
        <v>0</v>
      </c>
      <c r="R51" s="357">
        <f t="shared" si="9"/>
        <v>0</v>
      </c>
      <c r="S51" s="357" t="e">
        <f t="shared" si="9"/>
        <v>#N/A</v>
      </c>
      <c r="T51" s="357" t="e">
        <f t="shared" si="9"/>
        <v>#N/A</v>
      </c>
      <c r="U51" s="357">
        <f t="shared" si="9"/>
        <v>3.777985300695104</v>
      </c>
      <c r="V51" s="357">
        <f t="shared" si="9"/>
        <v>1.8458253176262038</v>
      </c>
      <c r="W51" s="436" t="e">
        <f>B51*L51/($L$11*$L51+$M$11*M51+$N$11*N51+$O$11*O51+$P$11*$P51+$Q$11*$Q51+$R$11*R51+$S$11*S51+$T$11*T51+$U$11*U51+$V$11*V51)</f>
        <v>#N/A</v>
      </c>
      <c r="X51" s="439" t="e">
        <f>W51/$L51*M51</f>
        <v>#N/A</v>
      </c>
      <c r="Y51" s="439" t="e">
        <f>W51/$L51*N51</f>
        <v>#N/A</v>
      </c>
      <c r="Z51" s="439" t="e">
        <f>W51/$L51*O51</f>
        <v>#N/A</v>
      </c>
      <c r="AA51" s="439" t="e">
        <f>W51/$L51*P51</f>
        <v>#N/A</v>
      </c>
      <c r="AB51" s="439" t="e">
        <f>W51/$L51*Q51</f>
        <v>#N/A</v>
      </c>
      <c r="AC51" s="439" t="e">
        <f>W51/$L51*R51</f>
        <v>#N/A</v>
      </c>
      <c r="AD51" s="439" t="e">
        <f>W51/$L51*S51</f>
        <v>#N/A</v>
      </c>
      <c r="AE51" s="439" t="e">
        <f>W51/$L51*T51</f>
        <v>#N/A</v>
      </c>
      <c r="AF51" s="439" t="e">
        <f>W51/$L51*U51</f>
        <v>#N/A</v>
      </c>
      <c r="AG51" s="440" t="e">
        <f>W51/$L51*V51</f>
        <v>#N/A</v>
      </c>
    </row>
    <row r="52" spans="1:33" ht="13.5" customHeight="1">
      <c r="A52" s="369" t="s">
        <v>278</v>
      </c>
      <c r="B52" s="348">
        <f>IF(PETIMAT="",0,PETIMAT)</f>
        <v>0</v>
      </c>
      <c r="C52" s="270" t="e">
        <f>AA52*UGBCAP+AC52*$N$6+AD52*$O$6</f>
        <v>#N/A</v>
      </c>
      <c r="D52" s="269" t="e">
        <f>(W52*UGBBL)+(X52*UGBBV)+(Y52*UGBOV)+(UGBOL*Z52)+(UGBEQ*AB52)+AC52*$N$7+AD52*$O$7</f>
        <v>#N/A</v>
      </c>
      <c r="E52" s="269" t="e">
        <f>AE52*CV</f>
        <v>#N/A</v>
      </c>
      <c r="F52" s="269">
        <f>IF(CV&gt;0,E52*CVCAP/CV,0)</f>
        <v>0</v>
      </c>
      <c r="G52" s="269" t="e">
        <f>AF52*CP</f>
        <v>#N/A</v>
      </c>
      <c r="H52" s="269" t="e">
        <f>AG52*CS</f>
        <v>#N/A</v>
      </c>
      <c r="I52" s="339" t="e">
        <f t="shared" si="6"/>
        <v>#N/A</v>
      </c>
      <c r="J52" s="365" t="s">
        <v>413</v>
      </c>
      <c r="L52" s="366">
        <f aca="true" t="shared" si="10" ref="L52:V52">L49</f>
        <v>1</v>
      </c>
      <c r="M52" s="366">
        <f t="shared" si="10"/>
        <v>0</v>
      </c>
      <c r="N52" s="366">
        <f t="shared" si="10"/>
        <v>0</v>
      </c>
      <c r="O52" s="366">
        <f t="shared" si="10"/>
        <v>0</v>
      </c>
      <c r="P52" s="366">
        <f t="shared" si="10"/>
        <v>0</v>
      </c>
      <c r="Q52" s="366">
        <f t="shared" si="10"/>
        <v>0</v>
      </c>
      <c r="R52" s="366">
        <f t="shared" si="10"/>
        <v>0</v>
      </c>
      <c r="S52" s="366" t="e">
        <f t="shared" si="10"/>
        <v>#N/A</v>
      </c>
      <c r="T52" s="366" t="e">
        <f t="shared" si="10"/>
        <v>#N/A</v>
      </c>
      <c r="U52" s="366">
        <f t="shared" si="10"/>
        <v>3.777985300695104</v>
      </c>
      <c r="V52" s="366">
        <f t="shared" si="10"/>
        <v>1.8458253176262038</v>
      </c>
      <c r="W52" s="436" t="e">
        <f>B52*L52/($L$11*$L52+$M$11*M52+$N$11*N52+$O$11*O52+$P$11*$P52+$Q$11*$Q52+$R$11*R52+$S$11*S52+$T$11*T52+$U$11*U52+$V$11*V52)</f>
        <v>#N/A</v>
      </c>
      <c r="X52" s="441" t="e">
        <f>W52/$L52*M52</f>
        <v>#N/A</v>
      </c>
      <c r="Y52" s="441" t="e">
        <f>W52/$L52*N52</f>
        <v>#N/A</v>
      </c>
      <c r="Z52" s="441" t="e">
        <f>W52/$L52*O52</f>
        <v>#N/A</v>
      </c>
      <c r="AA52" s="441" t="e">
        <f>W52/$L52*P52</f>
        <v>#N/A</v>
      </c>
      <c r="AB52" s="441" t="e">
        <f>W52/$L52*Q52</f>
        <v>#N/A</v>
      </c>
      <c r="AC52" s="441" t="e">
        <f>W52/$L52*R52</f>
        <v>#N/A</v>
      </c>
      <c r="AD52" s="441" t="e">
        <f>W52/$L52*S52</f>
        <v>#N/A</v>
      </c>
      <c r="AE52" s="441" t="e">
        <f>W52/$L52*T52</f>
        <v>#N/A</v>
      </c>
      <c r="AF52" s="441" t="e">
        <f>W52/$L52*U52</f>
        <v>#N/A</v>
      </c>
      <c r="AG52" s="442" t="e">
        <f>W52/$L52*V52</f>
        <v>#N/A</v>
      </c>
    </row>
    <row r="53" spans="1:31" ht="13.5" customHeight="1">
      <c r="A53" s="403" t="s">
        <v>437</v>
      </c>
      <c r="B53" s="404">
        <f aca="true" t="shared" si="11" ref="B53:H53">SUM(B54:B56)</f>
        <v>0</v>
      </c>
      <c r="C53" s="405" t="e">
        <f t="shared" si="11"/>
        <v>#N/A</v>
      </c>
      <c r="D53" s="405" t="e">
        <f t="shared" si="11"/>
        <v>#N/A</v>
      </c>
      <c r="E53" s="405" t="e">
        <f t="shared" si="11"/>
        <v>#N/A</v>
      </c>
      <c r="F53" s="405">
        <f t="shared" si="11"/>
        <v>0</v>
      </c>
      <c r="G53" s="404" t="e">
        <f t="shared" si="11"/>
        <v>#N/A</v>
      </c>
      <c r="H53" s="404" t="e">
        <f t="shared" si="11"/>
        <v>#N/A</v>
      </c>
      <c r="I53" s="339" t="e">
        <f t="shared" si="6"/>
        <v>#N/A</v>
      </c>
      <c r="L53" s="375"/>
      <c r="M53" s="375"/>
      <c r="N53" s="375"/>
      <c r="O53" s="375"/>
      <c r="P53" s="375"/>
      <c r="Q53" s="375"/>
      <c r="R53" s="375"/>
      <c r="S53" s="375"/>
      <c r="T53" s="375"/>
      <c r="U53" s="375"/>
      <c r="V53" s="375"/>
      <c r="W53" s="283"/>
      <c r="X53" s="283"/>
      <c r="Y53" s="283"/>
      <c r="Z53" s="283"/>
      <c r="AA53" s="283"/>
      <c r="AB53" s="283"/>
      <c r="AC53" s="274"/>
      <c r="AD53" s="274"/>
      <c r="AE53" s="274"/>
    </row>
    <row r="54" spans="1:33" ht="13.5" customHeight="1">
      <c r="A54" s="443" t="s">
        <v>281</v>
      </c>
      <c r="B54" s="348">
        <f>IF(EAU="",0,EAU)</f>
        <v>0</v>
      </c>
      <c r="C54" s="270" t="e">
        <f>AA54*UGBCAP+AC54*$N$6+AD54*$O$6</f>
        <v>#N/A</v>
      </c>
      <c r="D54" s="269" t="e">
        <f>(W54*UGBBL)+(X54*UGBBV)+(Y54*UGBOV)+(UGBOL*Z54)+(UGBEQ*AB54)+AC54*$N$7+AD54*$O$7</f>
        <v>#N/A</v>
      </c>
      <c r="E54" s="269" t="e">
        <f>AE54*CV</f>
        <v>#N/A</v>
      </c>
      <c r="F54" s="269">
        <f>IF(CV&gt;0,E54*CVCAP/CV,0)</f>
        <v>0</v>
      </c>
      <c r="G54" s="269" t="e">
        <f>AF54*CP</f>
        <v>#N/A</v>
      </c>
      <c r="H54" s="269" t="e">
        <f>AG54*CS</f>
        <v>#N/A</v>
      </c>
      <c r="I54" s="339" t="e">
        <f t="shared" si="6"/>
        <v>#N/A</v>
      </c>
      <c r="J54" s="365" t="s">
        <v>413</v>
      </c>
      <c r="L54" s="350">
        <f>Cuisine!B65</f>
        <v>1</v>
      </c>
      <c r="M54" s="350">
        <f>Cuisine!C65</f>
        <v>0</v>
      </c>
      <c r="N54" s="350">
        <f>Cuisine!D65</f>
        <v>0</v>
      </c>
      <c r="O54" s="350">
        <f>Cuisine!E65</f>
        <v>0</v>
      </c>
      <c r="P54" s="350">
        <f>Cuisine!F65</f>
        <v>0</v>
      </c>
      <c r="Q54" s="350">
        <f>Cuisine!G65</f>
        <v>0</v>
      </c>
      <c r="R54" s="350">
        <f>Cuisine!H65</f>
        <v>0</v>
      </c>
      <c r="S54" s="350" t="e">
        <f>Cuisine!I65</f>
        <v>#N/A</v>
      </c>
      <c r="T54" s="350" t="e">
        <f>Cuisine!J65</f>
        <v>#N/A</v>
      </c>
      <c r="U54" s="350">
        <f>Cuisine!K65</f>
        <v>1.0862056229455055</v>
      </c>
      <c r="V54" s="350">
        <f>Cuisine!L65</f>
        <v>0.1187617367528265</v>
      </c>
      <c r="W54" s="444" t="e">
        <f>B54*L54/($L$11*$L54+$M$11*M54+$N$11*N54+$O$11*O54+$P$11*P54+$Q$11*Q54+$R$11*R54+$S$11*S54+$T$11*T54+$U$11*U54+$V$11*V54)</f>
        <v>#N/A</v>
      </c>
      <c r="X54" s="445" t="e">
        <f>W54/$L54*M54</f>
        <v>#N/A</v>
      </c>
      <c r="Y54" s="444" t="e">
        <f>W54/$L54*N54</f>
        <v>#N/A</v>
      </c>
      <c r="Z54" s="444" t="e">
        <f>W54/$L54*O54</f>
        <v>#N/A</v>
      </c>
      <c r="AA54" s="444" t="e">
        <f>W54/$L54*P54</f>
        <v>#N/A</v>
      </c>
      <c r="AB54" s="444" t="e">
        <f>W54/$L54*Q54</f>
        <v>#N/A</v>
      </c>
      <c r="AC54" s="444" t="e">
        <f>W54/$L54*R54</f>
        <v>#N/A</v>
      </c>
      <c r="AD54" s="444" t="e">
        <f>W54/$L54*S54</f>
        <v>#N/A</v>
      </c>
      <c r="AE54" s="444" t="e">
        <f>W54/$L54*T54</f>
        <v>#N/A</v>
      </c>
      <c r="AF54" s="444" t="e">
        <f>W54/$L54*U54</f>
        <v>#N/A</v>
      </c>
      <c r="AG54" s="446" t="e">
        <f>W54/$L54*V54</f>
        <v>#N/A</v>
      </c>
    </row>
    <row r="55" spans="1:33" ht="13.5" customHeight="1">
      <c r="A55" s="443" t="s">
        <v>284</v>
      </c>
      <c r="B55" s="348">
        <f>IF(EDF="",0,EDF)</f>
        <v>0</v>
      </c>
      <c r="C55" s="270" t="e">
        <f>AA55*UGBCAP+AC55*$N$6+AD55*$O$6</f>
        <v>#N/A</v>
      </c>
      <c r="D55" s="269" t="e">
        <f>(W55*UGBBL)+(X55*UGBBV)+(Y55*UGBOV)+(UGBOL*Z55)+(UGBEQ*AB55)+AC55*$N$7+AD55*$O$7</f>
        <v>#N/A</v>
      </c>
      <c r="E55" s="269" t="e">
        <f>AE55*CV</f>
        <v>#N/A</v>
      </c>
      <c r="F55" s="269">
        <f>IF(CV&gt;0,E55*CVCAP/CV,0)</f>
        <v>0</v>
      </c>
      <c r="G55" s="269" t="e">
        <f>AF55*CP</f>
        <v>#N/A</v>
      </c>
      <c r="H55" s="269" t="e">
        <f>AG55*CS</f>
        <v>#N/A</v>
      </c>
      <c r="I55" s="339" t="e">
        <f t="shared" si="6"/>
        <v>#N/A</v>
      </c>
      <c r="J55" s="365" t="s">
        <v>413</v>
      </c>
      <c r="L55" s="357">
        <f aca="true" t="shared" si="12" ref="L55:V55">L54</f>
        <v>1</v>
      </c>
      <c r="M55" s="357">
        <f t="shared" si="12"/>
        <v>0</v>
      </c>
      <c r="N55" s="357">
        <f t="shared" si="12"/>
        <v>0</v>
      </c>
      <c r="O55" s="357">
        <f t="shared" si="12"/>
        <v>0</v>
      </c>
      <c r="P55" s="357">
        <f t="shared" si="12"/>
        <v>0</v>
      </c>
      <c r="Q55" s="357">
        <f t="shared" si="12"/>
        <v>0</v>
      </c>
      <c r="R55" s="357">
        <f t="shared" si="12"/>
        <v>0</v>
      </c>
      <c r="S55" s="357" t="e">
        <f t="shared" si="12"/>
        <v>#N/A</v>
      </c>
      <c r="T55" s="357" t="e">
        <f t="shared" si="12"/>
        <v>#N/A</v>
      </c>
      <c r="U55" s="357">
        <f t="shared" si="12"/>
        <v>1.0862056229455055</v>
      </c>
      <c r="V55" s="357">
        <f t="shared" si="12"/>
        <v>0.1187617367528265</v>
      </c>
      <c r="W55" s="444" t="e">
        <f>B55*L55/($L$11*$L55+$M$11*M55+$N$11*N55+$O$11*O55+$P$11*P55+$Q$11*Q55+$R$11*R55+$S$11*S55+$T$11*T55+$U$11*U55+$V$11*V55)</f>
        <v>#N/A</v>
      </c>
      <c r="X55" s="447" t="e">
        <f>W55/$L55*M55</f>
        <v>#N/A</v>
      </c>
      <c r="Y55" s="447" t="e">
        <f>W55/$L55*N55</f>
        <v>#N/A</v>
      </c>
      <c r="Z55" s="447" t="e">
        <f>W55/$L55*O55</f>
        <v>#N/A</v>
      </c>
      <c r="AA55" s="447" t="e">
        <f>W55/$L55*P55</f>
        <v>#N/A</v>
      </c>
      <c r="AB55" s="447" t="e">
        <f>W55/$L55*Q55</f>
        <v>#N/A</v>
      </c>
      <c r="AC55" s="447" t="e">
        <f>W55/$L55*R55</f>
        <v>#N/A</v>
      </c>
      <c r="AD55" s="447" t="e">
        <f>W55/$L55*S55</f>
        <v>#N/A</v>
      </c>
      <c r="AE55" s="447" t="e">
        <f>W55/$L55*T55</f>
        <v>#N/A</v>
      </c>
      <c r="AF55" s="447" t="e">
        <f>W55/$L55*U55</f>
        <v>#N/A</v>
      </c>
      <c r="AG55" s="448" t="e">
        <f>W55/$L55*V55</f>
        <v>#N/A</v>
      </c>
    </row>
    <row r="56" spans="1:33" ht="13.5" customHeight="1">
      <c r="A56" s="443" t="s">
        <v>288</v>
      </c>
      <c r="B56" s="348">
        <f>IF(ENTBAT="",0,ENTBAT)</f>
        <v>0</v>
      </c>
      <c r="C56" s="270" t="e">
        <f>AA56*UGBCAP+AC56*$N$6+AD56*$O$6</f>
        <v>#N/A</v>
      </c>
      <c r="D56" s="269" t="e">
        <f>(W56*UGBBL)+(X56*UGBBV)+(Y56*UGBOV)+(UGBOL*Z56)+(UGBEQ*AB56)+AC56*$N$7+AD56*$O$7</f>
        <v>#N/A</v>
      </c>
      <c r="E56" s="269" t="e">
        <f>AE56*CV</f>
        <v>#N/A</v>
      </c>
      <c r="F56" s="269">
        <f>IF(CV&gt;0,E56*CVCAP/CV,0)</f>
        <v>0</v>
      </c>
      <c r="G56" s="269" t="e">
        <f>AF56*CP</f>
        <v>#N/A</v>
      </c>
      <c r="H56" s="269" t="e">
        <f>AG56*CS</f>
        <v>#N/A</v>
      </c>
      <c r="I56" s="339" t="e">
        <f t="shared" si="6"/>
        <v>#N/A</v>
      </c>
      <c r="J56" s="365" t="s">
        <v>413</v>
      </c>
      <c r="L56" s="366">
        <f aca="true" t="shared" si="13" ref="L56:V56">L54</f>
        <v>1</v>
      </c>
      <c r="M56" s="366">
        <f t="shared" si="13"/>
        <v>0</v>
      </c>
      <c r="N56" s="366">
        <f t="shared" si="13"/>
        <v>0</v>
      </c>
      <c r="O56" s="366">
        <f t="shared" si="13"/>
        <v>0</v>
      </c>
      <c r="P56" s="366">
        <f t="shared" si="13"/>
        <v>0</v>
      </c>
      <c r="Q56" s="366">
        <f t="shared" si="13"/>
        <v>0</v>
      </c>
      <c r="R56" s="366">
        <f t="shared" si="13"/>
        <v>0</v>
      </c>
      <c r="S56" s="366" t="e">
        <f t="shared" si="13"/>
        <v>#N/A</v>
      </c>
      <c r="T56" s="366" t="e">
        <f t="shared" si="13"/>
        <v>#N/A</v>
      </c>
      <c r="U56" s="366">
        <f t="shared" si="13"/>
        <v>1.0862056229455055</v>
      </c>
      <c r="V56" s="366">
        <f t="shared" si="13"/>
        <v>0.1187617367528265</v>
      </c>
      <c r="W56" s="444" t="e">
        <f>B56*L56/($L$11*$L56+$M$11*M56+$N$11*N56+$O$11*O56+$P$11*P56+$Q$11*Q56+$R$11*R56+$S$11*S56+$T$11*T56+$U$11*U56+$V$11*V56)</f>
        <v>#N/A</v>
      </c>
      <c r="X56" s="449" t="e">
        <f>W56/$L56*M56</f>
        <v>#N/A</v>
      </c>
      <c r="Y56" s="449" t="e">
        <f>W56/$L56*N56</f>
        <v>#N/A</v>
      </c>
      <c r="Z56" s="449" t="e">
        <f>W56/$L56*O56</f>
        <v>#N/A</v>
      </c>
      <c r="AA56" s="449" t="e">
        <f>W56/$L56*P56</f>
        <v>#N/A</v>
      </c>
      <c r="AB56" s="449" t="e">
        <f>W56/$L56*Q56</f>
        <v>#N/A</v>
      </c>
      <c r="AC56" s="449" t="e">
        <f>W56/$L56*R56</f>
        <v>#N/A</v>
      </c>
      <c r="AD56" s="449" t="e">
        <f>W56/$L56*S56</f>
        <v>#N/A</v>
      </c>
      <c r="AE56" s="449" t="e">
        <f>W56/$L56*T56</f>
        <v>#N/A</v>
      </c>
      <c r="AF56" s="449" t="e">
        <f>W56/$L56*U56</f>
        <v>#N/A</v>
      </c>
      <c r="AG56" s="450" t="e">
        <f>W56/$L56*V56</f>
        <v>#N/A</v>
      </c>
    </row>
    <row r="57" spans="1:31" ht="13.5" customHeight="1">
      <c r="A57" s="403" t="s">
        <v>438</v>
      </c>
      <c r="B57" s="404">
        <f aca="true" t="shared" si="14" ref="B57:H57">SUM(B58:B61)</f>
        <v>0</v>
      </c>
      <c r="C57" s="405" t="e">
        <f t="shared" si="14"/>
        <v>#N/A</v>
      </c>
      <c r="D57" s="405" t="e">
        <f t="shared" si="14"/>
        <v>#N/A</v>
      </c>
      <c r="E57" s="405" t="e">
        <f t="shared" si="14"/>
        <v>#N/A</v>
      </c>
      <c r="F57" s="405">
        <f t="shared" si="14"/>
        <v>0</v>
      </c>
      <c r="G57" s="406" t="e">
        <f t="shared" si="14"/>
        <v>#N/A</v>
      </c>
      <c r="H57" s="406" t="e">
        <f t="shared" si="14"/>
        <v>#N/A</v>
      </c>
      <c r="I57" s="339" t="e">
        <f t="shared" si="6"/>
        <v>#N/A</v>
      </c>
      <c r="L57" s="375"/>
      <c r="M57" s="375"/>
      <c r="N57" s="375"/>
      <c r="O57" s="375"/>
      <c r="P57" s="375"/>
      <c r="Q57" s="375"/>
      <c r="R57" s="375"/>
      <c r="S57" s="375"/>
      <c r="T57" s="375"/>
      <c r="U57" s="375"/>
      <c r="V57" s="375"/>
      <c r="W57" s="283"/>
      <c r="X57" s="283"/>
      <c r="Y57" s="283"/>
      <c r="Z57" s="283"/>
      <c r="AA57" s="283"/>
      <c r="AB57" s="283"/>
      <c r="AC57" s="274"/>
      <c r="AD57" s="274"/>
      <c r="AE57" s="274"/>
    </row>
    <row r="58" spans="1:33" ht="13.5" customHeight="1">
      <c r="A58" s="443" t="s">
        <v>292</v>
      </c>
      <c r="B58" s="348">
        <f>GEST</f>
        <v>0</v>
      </c>
      <c r="C58" s="270" t="e">
        <f>AA58*UGBCAP+AC58*$N$6+AD58*$O$6</f>
        <v>#N/A</v>
      </c>
      <c r="D58" s="269" t="e">
        <f>(W58*UGBBL)+(X58*UGBBV)+(Y58*UGBOV)+(UGBOL*Z58)+(UGBEQ*AB58)+AC58*$N$7+AD58*$O$7</f>
        <v>#N/A</v>
      </c>
      <c r="E58" s="269" t="e">
        <f>AE58*CV</f>
        <v>#N/A</v>
      </c>
      <c r="F58" s="269">
        <f>IF(CV&gt;0,E58*CVCAP/CV,0)</f>
        <v>0</v>
      </c>
      <c r="G58" s="269" t="e">
        <f>AF58*CP</f>
        <v>#N/A</v>
      </c>
      <c r="H58" s="269" t="e">
        <f>AG58*CS</f>
        <v>#N/A</v>
      </c>
      <c r="I58" s="339" t="e">
        <f t="shared" si="6"/>
        <v>#N/A</v>
      </c>
      <c r="J58" s="365" t="s">
        <v>413</v>
      </c>
      <c r="L58" s="350">
        <f>Cuisine!B66</f>
        <v>1</v>
      </c>
      <c r="M58" s="350">
        <f>Cuisine!C66</f>
        <v>0</v>
      </c>
      <c r="N58" s="350">
        <f>Cuisine!D66</f>
        <v>0</v>
      </c>
      <c r="O58" s="350">
        <f>Cuisine!E66</f>
        <v>0</v>
      </c>
      <c r="P58" s="350">
        <f>Cuisine!F66</f>
        <v>0</v>
      </c>
      <c r="Q58" s="350">
        <f>Cuisine!G66</f>
        <v>0</v>
      </c>
      <c r="R58" s="350">
        <f>Cuisine!H66</f>
        <v>0</v>
      </c>
      <c r="S58" s="350" t="e">
        <f>Cuisine!I66</f>
        <v>#N/A</v>
      </c>
      <c r="T58" s="350" t="e">
        <f>Cuisine!J66</f>
        <v>#N/A</v>
      </c>
      <c r="U58" s="350">
        <f>Cuisine!K66</f>
        <v>3.590605920808378</v>
      </c>
      <c r="V58" s="451">
        <f>Cuisine!L66</f>
        <v>1.2704148616431947</v>
      </c>
      <c r="W58" s="444" t="e">
        <f>B58*L58/($L$11*$L58+$M$11*M58+$N$11*N58+$O$11*O58+$P$11*$P58+$Q$11*$Q58+$R15*R58+$S$11*S58+$T$11*T58+$U$11*U58+$V$11*V58)</f>
        <v>#N/A</v>
      </c>
      <c r="X58" s="445" t="e">
        <f>W58/$L58*M58</f>
        <v>#N/A</v>
      </c>
      <c r="Y58" s="445" t="e">
        <f>W58/$L58*N58</f>
        <v>#N/A</v>
      </c>
      <c r="Z58" s="445" t="e">
        <f>W58/$L58*O58</f>
        <v>#N/A</v>
      </c>
      <c r="AA58" s="445" t="e">
        <f>W58/$L58*P58</f>
        <v>#N/A</v>
      </c>
      <c r="AB58" s="445" t="e">
        <f>W58/$L58*Q58</f>
        <v>#N/A</v>
      </c>
      <c r="AC58" s="445" t="e">
        <f>W58/$L58*R58</f>
        <v>#N/A</v>
      </c>
      <c r="AD58" s="445" t="e">
        <f>W58/$L58*S58</f>
        <v>#N/A</v>
      </c>
      <c r="AE58" s="445" t="e">
        <f>W58/$L58*T58</f>
        <v>#N/A</v>
      </c>
      <c r="AF58" s="445" t="e">
        <f>W58/$L58*U58</f>
        <v>#N/A</v>
      </c>
      <c r="AG58" s="452" t="e">
        <f>W58/$L58*V58</f>
        <v>#N/A</v>
      </c>
    </row>
    <row r="59" spans="1:33" ht="13.5" customHeight="1">
      <c r="A59" s="443" t="s">
        <v>439</v>
      </c>
      <c r="B59" s="348">
        <f>FERM</f>
        <v>0</v>
      </c>
      <c r="C59" s="270" t="e">
        <f>(SHCAP+CFCAP)*AC59</f>
        <v>#DIV/0!</v>
      </c>
      <c r="D59" s="269" t="e">
        <f>((SH-SHCAP)+(CF-CFCAP))*AC59</f>
        <v>#DIV/0!</v>
      </c>
      <c r="E59" s="269" t="e">
        <f>AE59*CV</f>
        <v>#DIV/0!</v>
      </c>
      <c r="F59" s="269">
        <f>IF(CV&gt;0,E59*CVCAP/CV,0)</f>
        <v>0</v>
      </c>
      <c r="G59" s="269" t="e">
        <f>AF59*CP</f>
        <v>#DIV/0!</v>
      </c>
      <c r="H59" s="269" t="e">
        <f>AG59*CS</f>
        <v>#DIV/0!</v>
      </c>
      <c r="I59" s="339" t="e">
        <f t="shared" si="6"/>
        <v>#DIV/0!</v>
      </c>
      <c r="J59" s="272" t="s">
        <v>420</v>
      </c>
      <c r="L59" s="453"/>
      <c r="M59" s="453"/>
      <c r="N59" s="453"/>
      <c r="O59" s="453"/>
      <c r="P59" s="453"/>
      <c r="Q59" s="453"/>
      <c r="R59" s="453">
        <v>1</v>
      </c>
      <c r="S59" s="453">
        <v>1</v>
      </c>
      <c r="T59" s="453">
        <v>1</v>
      </c>
      <c r="U59" s="454">
        <v>1</v>
      </c>
      <c r="V59" s="454">
        <v>1</v>
      </c>
      <c r="W59" s="444"/>
      <c r="X59" s="439"/>
      <c r="Y59" s="415"/>
      <c r="Z59" s="415"/>
      <c r="AA59" s="415"/>
      <c r="AB59" s="415"/>
      <c r="AC59" s="416" t="e">
        <f>FERM/SAU</f>
        <v>#DIV/0!</v>
      </c>
      <c r="AD59" s="416" t="e">
        <f>AC59</f>
        <v>#DIV/0!</v>
      </c>
      <c r="AE59" s="416" t="e">
        <f>AD59</f>
        <v>#DIV/0!</v>
      </c>
      <c r="AF59" s="416" t="e">
        <f>AE59</f>
        <v>#DIV/0!</v>
      </c>
      <c r="AG59" s="417" t="e">
        <f>AF59</f>
        <v>#DIV/0!</v>
      </c>
    </row>
    <row r="60" spans="1:33" ht="13.5" customHeight="1">
      <c r="A60" s="443" t="s">
        <v>300</v>
      </c>
      <c r="B60" s="348">
        <f>SAL</f>
        <v>0</v>
      </c>
      <c r="C60" s="270" t="e">
        <f>IF(OR(MOREP=0,PAUMO&lt;&gt;""),AA60*UGBCAP+AC60*$N$6+AD60*$O$6,PUMOSACAP*SAL)</f>
        <v>#N/A</v>
      </c>
      <c r="D60" s="269" t="e">
        <f>IF(OR(MOREP=0,PAUMO&lt;&gt;""),UGBBL*W60+UGBBV*X60+UGBOV*Y60+UGBOL*Z60+UGBEQ*AB60+AC60*$N$7+AD60*$O$7,PUMOSAAH*SAL)</f>
        <v>#N/A</v>
      </c>
      <c r="E60" s="269" t="e">
        <f>IF(OR(MOREP=0,PAUMO&lt;&gt;""),AE60*CV,PUMOSACV*SAL)</f>
        <v>#N/A</v>
      </c>
      <c r="F60" s="269">
        <f>IF(CV&gt;0,E60*CVCAP/CV,0)</f>
        <v>0</v>
      </c>
      <c r="G60" s="269" t="e">
        <f>IF(OR(MOREP=0,PAUMO&lt;&gt;""),AF60*CP,PUMOSACP*SAL)</f>
        <v>#N/A</v>
      </c>
      <c r="H60" s="269" t="e">
        <f>IF(OR(MOREP=0,PAUMO&lt;&gt;""),AG60*CS,PUMOSACS*SAL)</f>
        <v>#N/A</v>
      </c>
      <c r="I60" s="339" t="e">
        <f t="shared" si="6"/>
        <v>#N/A</v>
      </c>
      <c r="J60" s="365" t="s">
        <v>413</v>
      </c>
      <c r="L60" s="357">
        <f>Cuisine!B68</f>
        <v>1</v>
      </c>
      <c r="M60" s="357">
        <f>Cuisine!C68</f>
        <v>0</v>
      </c>
      <c r="N60" s="357">
        <f>Cuisine!D68</f>
        <v>0</v>
      </c>
      <c r="O60" s="357">
        <f>Cuisine!E68</f>
        <v>0</v>
      </c>
      <c r="P60" s="357">
        <f>Cuisine!F68</f>
        <v>0</v>
      </c>
      <c r="Q60" s="357">
        <f>Cuisine!G68</f>
        <v>0</v>
      </c>
      <c r="R60" s="357">
        <f>Cuisine!H68</f>
        <v>0</v>
      </c>
      <c r="S60" s="357" t="e">
        <f>Cuisine!I68</f>
        <v>#N/A</v>
      </c>
      <c r="T60" s="357" t="e">
        <f>Cuisine!J68</f>
        <v>#N/A</v>
      </c>
      <c r="U60" s="455">
        <f>Cuisine!K68</f>
        <v>3.9013710106360597</v>
      </c>
      <c r="V60" s="455">
        <f>Cuisine!L68</f>
        <v>1.4420841661498212</v>
      </c>
      <c r="W60" s="444" t="e">
        <f>B60*L60/($L$11*$L60+$M$11*M60+$N$11*N60+$O$11*O60+$P$11*$P60+$Q$11*$Q60+$R17*R60+$S$11*S60+$T$11*T60+$U$11*U60+$V$11*V60)</f>
        <v>#N/A</v>
      </c>
      <c r="X60" s="439" t="e">
        <f>W60/$L60*M60</f>
        <v>#N/A</v>
      </c>
      <c r="Y60" s="439" t="e">
        <f>W60/$L60*N60</f>
        <v>#N/A</v>
      </c>
      <c r="Z60" s="439" t="e">
        <f>W60/$L60*O60</f>
        <v>#N/A</v>
      </c>
      <c r="AA60" s="439" t="e">
        <f>W60/$L60*P60</f>
        <v>#N/A</v>
      </c>
      <c r="AB60" s="439" t="e">
        <f>X60/$L60*Q60</f>
        <v>#N/A</v>
      </c>
      <c r="AC60" s="439" t="e">
        <f>W60/$L60*R60</f>
        <v>#N/A</v>
      </c>
      <c r="AD60" s="439" t="e">
        <f>W60/$L60*S60</f>
        <v>#N/A</v>
      </c>
      <c r="AE60" s="439" t="e">
        <f>W60/$L60*T60</f>
        <v>#N/A</v>
      </c>
      <c r="AF60" s="439" t="e">
        <f>W60/$L60*U60</f>
        <v>#N/A</v>
      </c>
      <c r="AG60" s="440" t="e">
        <f>W60/$L60*V60</f>
        <v>#N/A</v>
      </c>
    </row>
    <row r="61" spans="1:33" ht="13.5" customHeight="1">
      <c r="A61" s="443" t="s">
        <v>304</v>
      </c>
      <c r="B61" s="348">
        <f>FFIN</f>
        <v>0</v>
      </c>
      <c r="C61" s="270" t="e">
        <f>AA61*UGBCAP+AC61*$N$6+AD61*$O$6</f>
        <v>#N/A</v>
      </c>
      <c r="D61" s="269" t="e">
        <f>(W61*UGBBL)+(X61*UGBBV)+(Y61*UGBOV)+(UGBOL*Z61)+(UGBEQ*AB61)+AC61*$N$7+AD61*$O$7</f>
        <v>#N/A</v>
      </c>
      <c r="E61" s="269" t="e">
        <f>AE61*CV</f>
        <v>#N/A</v>
      </c>
      <c r="F61" s="269">
        <f>IF(CV&gt;0,E61*CVCAP/CV,0)</f>
        <v>0</v>
      </c>
      <c r="G61" s="269" t="e">
        <f>AF61*CP</f>
        <v>#N/A</v>
      </c>
      <c r="H61" s="269" t="e">
        <f>AG61*CS</f>
        <v>#N/A</v>
      </c>
      <c r="I61" s="339" t="e">
        <f t="shared" si="6"/>
        <v>#N/A</v>
      </c>
      <c r="J61" s="365" t="s">
        <v>413</v>
      </c>
      <c r="L61" s="456">
        <f>Cuisine!B67</f>
        <v>1</v>
      </c>
      <c r="M61" s="456">
        <f>Cuisine!C67</f>
        <v>0</v>
      </c>
      <c r="N61" s="456">
        <f>Cuisine!D67</f>
        <v>0</v>
      </c>
      <c r="O61" s="456">
        <f>Cuisine!E67</f>
        <v>0</v>
      </c>
      <c r="P61" s="456">
        <f>Cuisine!F67</f>
        <v>0</v>
      </c>
      <c r="Q61" s="456">
        <f>Cuisine!G67</f>
        <v>0</v>
      </c>
      <c r="R61" s="456">
        <f>Cuisine!H67</f>
        <v>0</v>
      </c>
      <c r="S61" s="456" t="e">
        <f>Cuisine!I67</f>
        <v>#N/A</v>
      </c>
      <c r="T61" s="456" t="e">
        <f>Cuisine!J67</f>
        <v>#N/A</v>
      </c>
      <c r="U61" s="456">
        <f>Cuisine!K67</f>
        <v>1.038510164338356</v>
      </c>
      <c r="V61" s="457">
        <f>Cuisine!L67</f>
        <v>0.08668812580876145</v>
      </c>
      <c r="W61" s="444" t="e">
        <f>B61*L61/($L$11*$L61+$M$11*M61+$N$11*N61+$O$11*O61+$P$11*$P61+$Q$11*$Q61+$R18*R61+$S$11*S61+$T$11*T61+$U$11*U61+$V$11*V61)</f>
        <v>#N/A</v>
      </c>
      <c r="X61" s="441" t="e">
        <f>W61/$L61*M61</f>
        <v>#N/A</v>
      </c>
      <c r="Y61" s="441" t="e">
        <f>W61/$L61*N61</f>
        <v>#N/A</v>
      </c>
      <c r="Z61" s="441" t="e">
        <f>W61/$L61*O61</f>
        <v>#N/A</v>
      </c>
      <c r="AA61" s="441" t="e">
        <f>W61/$L61*P61</f>
        <v>#N/A</v>
      </c>
      <c r="AB61" s="441" t="e">
        <f>W61/$L61*Q61</f>
        <v>#N/A</v>
      </c>
      <c r="AC61" s="441" t="e">
        <f>W61/$L61*R61</f>
        <v>#N/A</v>
      </c>
      <c r="AD61" s="441" t="e">
        <f>W61/$L61*S61</f>
        <v>#N/A</v>
      </c>
      <c r="AE61" s="441" t="e">
        <f>W61/$L61*T61</f>
        <v>#N/A</v>
      </c>
      <c r="AF61" s="441" t="e">
        <f>W61/$L61*U61</f>
        <v>#N/A</v>
      </c>
      <c r="AG61" s="442" t="e">
        <f>W61/$L61*V61</f>
        <v>#N/A</v>
      </c>
    </row>
    <row r="62" spans="1:31" ht="13.5" customHeight="1">
      <c r="A62" s="458" t="s">
        <v>440</v>
      </c>
      <c r="B62" s="459">
        <f aca="true" t="shared" si="15" ref="B62:H62">B63+B64</f>
        <v>0</v>
      </c>
      <c r="C62" s="459" t="e">
        <f t="shared" si="15"/>
        <v>#N/A</v>
      </c>
      <c r="D62" s="459" t="e">
        <f t="shared" si="15"/>
        <v>#N/A</v>
      </c>
      <c r="E62" s="459" t="e">
        <f t="shared" si="15"/>
        <v>#N/A</v>
      </c>
      <c r="F62" s="459">
        <f t="shared" si="15"/>
        <v>0</v>
      </c>
      <c r="G62" s="459" t="e">
        <f t="shared" si="15"/>
        <v>#N/A</v>
      </c>
      <c r="H62" s="459" t="e">
        <f t="shared" si="15"/>
        <v>#N/A</v>
      </c>
      <c r="I62" s="339" t="e">
        <f t="shared" si="6"/>
        <v>#N/A</v>
      </c>
      <c r="L62" s="375"/>
      <c r="M62" s="375"/>
      <c r="N62" s="375"/>
      <c r="O62" s="375"/>
      <c r="P62" s="375"/>
      <c r="Q62" s="375"/>
      <c r="R62" s="375"/>
      <c r="S62" s="375"/>
      <c r="T62" s="375"/>
      <c r="U62" s="375"/>
      <c r="V62" s="375"/>
      <c r="W62" s="283"/>
      <c r="X62" s="283"/>
      <c r="Y62" s="283"/>
      <c r="Z62" s="283"/>
      <c r="AA62" s="283"/>
      <c r="AB62" s="283"/>
      <c r="AC62" s="274"/>
      <c r="AD62" s="274"/>
      <c r="AE62" s="274"/>
    </row>
    <row r="63" spans="1:33" ht="13.5" customHeight="1">
      <c r="A63" s="443" t="s">
        <v>441</v>
      </c>
      <c r="B63" s="348">
        <f>AMORTMAT</f>
        <v>0</v>
      </c>
      <c r="C63" s="270" t="e">
        <f>AA63*UGBCAP+AC63*$N$6+AD63*$O$6</f>
        <v>#N/A</v>
      </c>
      <c r="D63" s="269" t="e">
        <f>(W63*UGBBL)+(X63*UGBBV)+(Y63*UGBOV)+(UGBOL*Z63)+(UGBEQ*AB63)+AC63*$N$7+AD63*$O$7</f>
        <v>#N/A</v>
      </c>
      <c r="E63" s="269" t="e">
        <f>AE63*CV</f>
        <v>#N/A</v>
      </c>
      <c r="F63" s="269">
        <f>IF(CV&gt;0,E63*CVCAP/CV,0)</f>
        <v>0</v>
      </c>
      <c r="G63" s="269" t="e">
        <f>AF63*CP</f>
        <v>#N/A</v>
      </c>
      <c r="H63" s="269" t="e">
        <f>AG63*CS</f>
        <v>#N/A</v>
      </c>
      <c r="I63" s="339" t="e">
        <f t="shared" si="6"/>
        <v>#N/A</v>
      </c>
      <c r="J63" s="365" t="s">
        <v>413</v>
      </c>
      <c r="L63" s="350">
        <f>Cuisine!B64</f>
        <v>1</v>
      </c>
      <c r="M63" s="350">
        <f>Cuisine!C64</f>
        <v>0</v>
      </c>
      <c r="N63" s="350">
        <f>Cuisine!D64</f>
        <v>0</v>
      </c>
      <c r="O63" s="350">
        <f>Cuisine!E64</f>
        <v>0</v>
      </c>
      <c r="P63" s="350">
        <f>Cuisine!F64</f>
        <v>0</v>
      </c>
      <c r="Q63" s="350">
        <f>Cuisine!G64</f>
        <v>0</v>
      </c>
      <c r="R63" s="350">
        <f>Cuisine!H64</f>
        <v>0</v>
      </c>
      <c r="S63" s="350" t="e">
        <f>Cuisine!I64</f>
        <v>#N/A</v>
      </c>
      <c r="T63" s="350" t="e">
        <f>Cuisine!J64</f>
        <v>#N/A</v>
      </c>
      <c r="U63" s="350">
        <f>Cuisine!K64</f>
        <v>3.777985300695104</v>
      </c>
      <c r="V63" s="350">
        <f>Cuisine!L64</f>
        <v>1.8458253176262038</v>
      </c>
      <c r="W63" s="444" t="e">
        <f>B63*L63/($L$11*$L63+$M$11*M63+$N$11*N63+$O$11*O63+$P$11*$P63+$Q$11*$Q63+$R20*R63+$S$11*S63+$T$11*T63+$U$11*U63+$V$11*V63)</f>
        <v>#N/A</v>
      </c>
      <c r="X63" s="445" t="e">
        <f>W63/$L63*M63</f>
        <v>#N/A</v>
      </c>
      <c r="Y63" s="445" t="e">
        <f>W63/$L63*N63</f>
        <v>#N/A</v>
      </c>
      <c r="Z63" s="445" t="e">
        <f>W63/$L63*O63</f>
        <v>#N/A</v>
      </c>
      <c r="AA63" s="445" t="e">
        <f>W63/$L63*P63</f>
        <v>#N/A</v>
      </c>
      <c r="AB63" s="445" t="e">
        <f>W63/$L63*Q63</f>
        <v>#N/A</v>
      </c>
      <c r="AC63" s="445" t="e">
        <f>W63/$L63*R63</f>
        <v>#N/A</v>
      </c>
      <c r="AD63" s="445" t="e">
        <f>W63/$L63*S63</f>
        <v>#N/A</v>
      </c>
      <c r="AE63" s="445" t="e">
        <f>W63/$L63*T63</f>
        <v>#N/A</v>
      </c>
      <c r="AF63" s="445" t="e">
        <f>W63/$L63*U63</f>
        <v>#N/A</v>
      </c>
      <c r="AG63" s="452" t="e">
        <f>W63/$L63*V63</f>
        <v>#N/A</v>
      </c>
    </row>
    <row r="64" spans="1:33" ht="13.5" customHeight="1">
      <c r="A64" s="443" t="s">
        <v>437</v>
      </c>
      <c r="B64" s="348">
        <f>AMORTBAT</f>
        <v>0</v>
      </c>
      <c r="C64" s="270" t="e">
        <f>AA64*UGBCAP+AC64*$N$6+AD64*$O$6</f>
        <v>#N/A</v>
      </c>
      <c r="D64" s="269" t="e">
        <f>(W64*UGBBL)+(X64*UGBBV)+(Y64*UGBOV)+(UGBOL*Z64)+(UGBEQ*AB64)+AC64*$N$7+AD64*$O$7</f>
        <v>#N/A</v>
      </c>
      <c r="E64" s="269" t="e">
        <f>AE64*CV</f>
        <v>#N/A</v>
      </c>
      <c r="F64" s="269">
        <f>IF(CV&gt;0,E64*CVCAP/CV,0)</f>
        <v>0</v>
      </c>
      <c r="G64" s="269" t="e">
        <f>AF64*CP</f>
        <v>#N/A</v>
      </c>
      <c r="H64" s="269" t="e">
        <f>AG64*CS</f>
        <v>#N/A</v>
      </c>
      <c r="I64" s="339" t="e">
        <f t="shared" si="6"/>
        <v>#N/A</v>
      </c>
      <c r="J64" s="365" t="s">
        <v>413</v>
      </c>
      <c r="L64" s="366">
        <f>Cuisine!B65</f>
        <v>1</v>
      </c>
      <c r="M64" s="366">
        <f>Cuisine!C65</f>
        <v>0</v>
      </c>
      <c r="N64" s="366">
        <f>Cuisine!D65</f>
        <v>0</v>
      </c>
      <c r="O64" s="366">
        <f>Cuisine!E65</f>
        <v>0</v>
      </c>
      <c r="P64" s="366">
        <f>Cuisine!F65</f>
        <v>0</v>
      </c>
      <c r="Q64" s="366">
        <f>Cuisine!G65</f>
        <v>0</v>
      </c>
      <c r="R64" s="366">
        <f>Cuisine!H65</f>
        <v>0</v>
      </c>
      <c r="S64" s="366" t="e">
        <f>Cuisine!I65</f>
        <v>#N/A</v>
      </c>
      <c r="T64" s="366" t="e">
        <f>Cuisine!J65</f>
        <v>#N/A</v>
      </c>
      <c r="U64" s="366">
        <f>Cuisine!K65</f>
        <v>1.0862056229455055</v>
      </c>
      <c r="V64" s="366">
        <f>Cuisine!L65</f>
        <v>0.1187617367528265</v>
      </c>
      <c r="W64" s="444" t="e">
        <f>B64*L64/($L$11*$L64+$M$11*M64+$N$11*N64+$O$11*O64+$P$11*$P64+$Q$11*$Q64+$R21*R64+$S$11*S64+$T$11*T64+$U$11*U64+$V$11*V64)</f>
        <v>#N/A</v>
      </c>
      <c r="X64" s="441" t="e">
        <f>W64/$L64*M64</f>
        <v>#N/A</v>
      </c>
      <c r="Y64" s="441" t="e">
        <f>W64/$L64*N64</f>
        <v>#N/A</v>
      </c>
      <c r="Z64" s="441" t="e">
        <f>W64/$L64*O64</f>
        <v>#N/A</v>
      </c>
      <c r="AA64" s="441" t="e">
        <f>W64/$L64*P64</f>
        <v>#N/A</v>
      </c>
      <c r="AB64" s="441" t="e">
        <f>W64/$L64*Q64</f>
        <v>#N/A</v>
      </c>
      <c r="AC64" s="441" t="e">
        <f>W64/$L64*R64</f>
        <v>#N/A</v>
      </c>
      <c r="AD64" s="441" t="e">
        <f>W64/$L64*S64</f>
        <v>#N/A</v>
      </c>
      <c r="AE64" s="441" t="e">
        <f>W64/$L64*T64</f>
        <v>#N/A</v>
      </c>
      <c r="AF64" s="441" t="e">
        <f>W64/$L64*U64</f>
        <v>#N/A</v>
      </c>
      <c r="AG64" s="442" t="e">
        <f>W64/$L64*V64</f>
        <v>#N/A</v>
      </c>
    </row>
    <row r="65" spans="1:31" ht="13.5" customHeight="1">
      <c r="A65" s="458" t="s">
        <v>442</v>
      </c>
      <c r="B65" s="459">
        <f aca="true" t="shared" si="16" ref="B65:H65">SUM(B66:B68)</f>
        <v>0</v>
      </c>
      <c r="C65" s="459" t="e">
        <f t="shared" si="16"/>
        <v>#DIV/0!</v>
      </c>
      <c r="D65" s="459" t="e">
        <f t="shared" si="16"/>
        <v>#DIV/0!</v>
      </c>
      <c r="E65" s="459" t="e">
        <f t="shared" si="16"/>
        <v>#DIV/0!</v>
      </c>
      <c r="F65" s="459">
        <f t="shared" si="16"/>
        <v>0</v>
      </c>
      <c r="G65" s="459" t="e">
        <f t="shared" si="16"/>
        <v>#DIV/0!</v>
      </c>
      <c r="H65" s="459" t="e">
        <f t="shared" si="16"/>
        <v>#DIV/0!</v>
      </c>
      <c r="I65" s="339" t="e">
        <f t="shared" si="6"/>
        <v>#DIV/0!</v>
      </c>
      <c r="L65" s="354"/>
      <c r="M65" s="354"/>
      <c r="N65" s="354"/>
      <c r="O65" s="354"/>
      <c r="P65" s="354"/>
      <c r="Q65" s="354"/>
      <c r="R65" s="354"/>
      <c r="S65" s="354"/>
      <c r="T65" s="354"/>
      <c r="U65" s="354"/>
      <c r="V65" s="354"/>
      <c r="W65" s="283"/>
      <c r="X65" s="283"/>
      <c r="Y65" s="283"/>
      <c r="Z65" s="283"/>
      <c r="AA65" s="283"/>
      <c r="AB65" s="283"/>
      <c r="AC65" s="274"/>
      <c r="AD65" s="274"/>
      <c r="AE65" s="274"/>
    </row>
    <row r="66" spans="1:33" ht="13.5" customHeight="1">
      <c r="A66" s="443" t="s">
        <v>443</v>
      </c>
      <c r="B66" s="348">
        <f>IF(SPRO="",0,IF(OR(FERMOP="",FERMOP&gt;PLAFERM),PLAFERM*SPRO,FERMOP*SPRO))</f>
        <v>0</v>
      </c>
      <c r="C66" s="270" t="e">
        <f>(SHCAP+CFCAP)*AC66</f>
        <v>#DIV/0!</v>
      </c>
      <c r="D66" s="269" t="e">
        <f>((SH-SHCAP)+(CF-CFCAP))*AC66</f>
        <v>#DIV/0!</v>
      </c>
      <c r="E66" s="269" t="e">
        <f>AE66*CV</f>
        <v>#DIV/0!</v>
      </c>
      <c r="F66" s="269">
        <f>IF(CV&gt;0,E66*CVCAP/CV,0)</f>
        <v>0</v>
      </c>
      <c r="G66" s="269" t="e">
        <f>AF66*CP</f>
        <v>#DIV/0!</v>
      </c>
      <c r="H66" s="269" t="e">
        <f>AG66*CS</f>
        <v>#DIV/0!</v>
      </c>
      <c r="I66" s="339" t="e">
        <f t="shared" si="6"/>
        <v>#DIV/0!</v>
      </c>
      <c r="J66" s="272" t="s">
        <v>420</v>
      </c>
      <c r="L66" s="460"/>
      <c r="M66" s="451"/>
      <c r="N66" s="451"/>
      <c r="O66" s="451"/>
      <c r="P66" s="451"/>
      <c r="Q66" s="451"/>
      <c r="R66" s="451">
        <v>1</v>
      </c>
      <c r="S66" s="451">
        <v>1</v>
      </c>
      <c r="T66" s="451">
        <v>1</v>
      </c>
      <c r="U66" s="451">
        <v>2</v>
      </c>
      <c r="V66" s="451">
        <v>3</v>
      </c>
      <c r="W66" s="461"/>
      <c r="X66" s="462"/>
      <c r="Y66" s="410"/>
      <c r="Z66" s="410"/>
      <c r="AA66" s="410"/>
      <c r="AB66" s="410"/>
      <c r="AC66" s="411" t="e">
        <f>B66/SAU</f>
        <v>#DIV/0!</v>
      </c>
      <c r="AD66" s="411" t="e">
        <f>AC66</f>
        <v>#DIV/0!</v>
      </c>
      <c r="AE66" s="411" t="e">
        <f>AD66</f>
        <v>#DIV/0!</v>
      </c>
      <c r="AF66" s="411" t="e">
        <f>AE66</f>
        <v>#DIV/0!</v>
      </c>
      <c r="AG66" s="411" t="e">
        <f>AF66</f>
        <v>#DIV/0!</v>
      </c>
    </row>
    <row r="67" spans="1:33" ht="13.5" customHeight="1">
      <c r="A67" s="443" t="s">
        <v>444</v>
      </c>
      <c r="B67" s="348">
        <f>CAP*ICP</f>
        <v>0</v>
      </c>
      <c r="C67" s="270" t="e">
        <f>AA67*UGBCAP+AC67*$N$6+AD67*$O$6</f>
        <v>#N/A</v>
      </c>
      <c r="D67" s="269" t="e">
        <f>(W67*UGBBL)+(X67*UGBBV)+(Y67*UGBOV)+(UGBOL*Z67)+(UGBEQ*AB67)+AC67*$N$7+AD67*$O$7</f>
        <v>#N/A</v>
      </c>
      <c r="E67" s="269" t="e">
        <f>AE67*CV</f>
        <v>#N/A</v>
      </c>
      <c r="F67" s="269">
        <f>IF(CV&gt;0,E67*CVCAP/CV,0)</f>
        <v>0</v>
      </c>
      <c r="G67" s="269" t="e">
        <f>AF67*CP</f>
        <v>#N/A</v>
      </c>
      <c r="H67" s="269" t="e">
        <f>AG67*CS</f>
        <v>#N/A</v>
      </c>
      <c r="I67" s="339" t="e">
        <f t="shared" si="6"/>
        <v>#N/A</v>
      </c>
      <c r="J67" s="365" t="s">
        <v>413</v>
      </c>
      <c r="L67" s="463">
        <f>Cuisine!B67</f>
        <v>1</v>
      </c>
      <c r="M67" s="455">
        <f>Cuisine!C67</f>
        <v>0</v>
      </c>
      <c r="N67" s="455">
        <f>Cuisine!D67</f>
        <v>0</v>
      </c>
      <c r="O67" s="455">
        <f>Cuisine!E67</f>
        <v>0</v>
      </c>
      <c r="P67" s="455">
        <f>Cuisine!F67</f>
        <v>0</v>
      </c>
      <c r="Q67" s="455">
        <f>Cuisine!G67</f>
        <v>0</v>
      </c>
      <c r="R67" s="455">
        <f>Cuisine!H67</f>
        <v>0</v>
      </c>
      <c r="S67" s="455" t="e">
        <f>Cuisine!I67</f>
        <v>#N/A</v>
      </c>
      <c r="T67" s="455" t="e">
        <f>Cuisine!J67</f>
        <v>#N/A</v>
      </c>
      <c r="U67" s="455">
        <f>Cuisine!K67</f>
        <v>1.038510164338356</v>
      </c>
      <c r="V67" s="455">
        <f>Cuisine!L67</f>
        <v>0.08668812580876145</v>
      </c>
      <c r="W67" s="447" t="e">
        <f>B67*L67/($L$11*$L67+$M$11*M67+$N$11*N67+$O$11*O67+$P$11*$P67+$Q$11*$Q67+$R24*R67+$S$11*S67+$T$11*T67+$U$11*U67+$V$11*V67)</f>
        <v>#N/A</v>
      </c>
      <c r="X67" s="439" t="e">
        <f>W67/$L67*M67</f>
        <v>#N/A</v>
      </c>
      <c r="Y67" s="439" t="e">
        <f>W67/$L67*N67</f>
        <v>#N/A</v>
      </c>
      <c r="Z67" s="439" t="e">
        <f>W67/$L67*O67</f>
        <v>#N/A</v>
      </c>
      <c r="AA67" s="439" t="e">
        <f>W67/$L67*P67</f>
        <v>#N/A</v>
      </c>
      <c r="AB67" s="439" t="e">
        <f>W67/$L67*Q67</f>
        <v>#N/A</v>
      </c>
      <c r="AC67" s="439" t="e">
        <f>W67/$L67*R67</f>
        <v>#N/A</v>
      </c>
      <c r="AD67" s="439" t="e">
        <f>W67/$L67*S67</f>
        <v>#N/A</v>
      </c>
      <c r="AE67" s="439" t="e">
        <f>W67/$L67*T67</f>
        <v>#N/A</v>
      </c>
      <c r="AF67" s="439" t="e">
        <f>W67/$L67*U67</f>
        <v>#N/A</v>
      </c>
      <c r="AG67" s="439" t="e">
        <f>W67/$L67*V67</f>
        <v>#N/A</v>
      </c>
    </row>
    <row r="68" spans="1:33" ht="13.5" customHeight="1">
      <c r="A68" s="443" t="s">
        <v>445</v>
      </c>
      <c r="B68" s="348">
        <f>UMOns*SMIC*'Edition 2'!F16</f>
        <v>0</v>
      </c>
      <c r="C68" s="270" t="e">
        <f>IF(OR(MOREP=0,PAUMO&lt;&gt;""),AA68*UGBCAP+AC68*$N$6+AD68*$O$6,PUMOCAP*B68)</f>
        <v>#N/A</v>
      </c>
      <c r="D68" s="269" t="e">
        <f>IF(OR(MOREP=0,PAUMO&lt;&gt;""),UGBBL*W68+UGBBV*X68+UGBOV*Y68+UGBOL*Z68+UGBEQ*AB68+AC68*$N$7+AD68*$O$7,PUMOAH*B68)</f>
        <v>#N/A</v>
      </c>
      <c r="E68" s="269" t="e">
        <f>IF(OR(MOREP=0,PAUMO&lt;&gt;""),AE68*CV,PUMOCV*B68)</f>
        <v>#N/A</v>
      </c>
      <c r="F68" s="269">
        <f>IF(CV&gt;0,E68*CVCAP/CV,0)</f>
        <v>0</v>
      </c>
      <c r="G68" s="269" t="e">
        <f>IF(OR(MOREP=0,PAUMO&lt;&gt;""),AF68*CP,PUMOCP*B68)</f>
        <v>#N/A</v>
      </c>
      <c r="H68" s="269">
        <f>IF(OR(MOREP=0,PAUMO&lt;&gt;""),AG65*CS,PUMOCS*B68)</f>
        <v>0</v>
      </c>
      <c r="I68" s="339" t="e">
        <f t="shared" si="6"/>
        <v>#N/A</v>
      </c>
      <c r="J68" s="365" t="s">
        <v>413</v>
      </c>
      <c r="L68" s="457">
        <f>Cuisine!B68</f>
        <v>1</v>
      </c>
      <c r="M68" s="464">
        <f>Cuisine!C68</f>
        <v>0</v>
      </c>
      <c r="N68" s="464">
        <f>Cuisine!D68</f>
        <v>0</v>
      </c>
      <c r="O68" s="464">
        <f>Cuisine!E68</f>
        <v>0</v>
      </c>
      <c r="P68" s="464">
        <f>Cuisine!F68</f>
        <v>0</v>
      </c>
      <c r="Q68" s="464">
        <f>Cuisine!G68</f>
        <v>0</v>
      </c>
      <c r="R68" s="464">
        <f>Cuisine!H68</f>
        <v>0</v>
      </c>
      <c r="S68" s="464" t="e">
        <f>Cuisine!I68</f>
        <v>#N/A</v>
      </c>
      <c r="T68" s="464" t="e">
        <f>Cuisine!J68</f>
        <v>#N/A</v>
      </c>
      <c r="U68" s="464">
        <f>Cuisine!K68</f>
        <v>3.9013710106360597</v>
      </c>
      <c r="V68" s="464">
        <f>Cuisine!L68</f>
        <v>1.4420841661498212</v>
      </c>
      <c r="W68" s="447" t="e">
        <f>B68*L68/($L$11*$L68+$M$11*M68+$N$11*N68+$O$11*O68+$P$11*$P68+$Q$11*$Q68+$R25*R68+$S$11*S68+$T$11*T68+$U$11*U68+$V$11*V68)</f>
        <v>#N/A</v>
      </c>
      <c r="X68" s="441" t="e">
        <f>W68/$L68*M68</f>
        <v>#N/A</v>
      </c>
      <c r="Y68" s="441" t="e">
        <f>W68/$L68*N68</f>
        <v>#N/A</v>
      </c>
      <c r="Z68" s="441" t="e">
        <f>W68/$L68*O68</f>
        <v>#N/A</v>
      </c>
      <c r="AA68" s="441" t="e">
        <f>W68/$L68*P68</f>
        <v>#N/A</v>
      </c>
      <c r="AB68" s="441" t="e">
        <f>W68/$L68*Q68</f>
        <v>#N/A</v>
      </c>
      <c r="AC68" s="441" t="e">
        <f>W68/$L68*R68</f>
        <v>#N/A</v>
      </c>
      <c r="AD68" s="441" t="e">
        <f>W68/$L68*S68</f>
        <v>#N/A</v>
      </c>
      <c r="AE68" s="441" t="e">
        <f>W68/$L68*T68</f>
        <v>#N/A</v>
      </c>
      <c r="AF68" s="441" t="e">
        <f>W68/$L68*U68</f>
        <v>#N/A</v>
      </c>
      <c r="AG68" s="441" t="e">
        <f>W68/$L68*V68</f>
        <v>#N/A</v>
      </c>
    </row>
    <row r="69" spans="4:31" ht="12">
      <c r="D69" s="269"/>
      <c r="I69" s="339"/>
      <c r="L69" s="465"/>
      <c r="M69" s="465"/>
      <c r="N69" s="465"/>
      <c r="O69" s="465"/>
      <c r="P69" s="465"/>
      <c r="Q69" s="465"/>
      <c r="R69" s="465"/>
      <c r="S69" s="466"/>
      <c r="T69" s="466"/>
      <c r="U69" s="466"/>
      <c r="V69" s="466"/>
      <c r="AC69" s="274"/>
      <c r="AD69" s="274"/>
      <c r="AE69" s="274"/>
    </row>
    <row r="70" spans="1:31" ht="13.5" customHeight="1">
      <c r="A70" s="467" t="s">
        <v>446</v>
      </c>
      <c r="B70" s="468">
        <f aca="true" t="shared" si="17" ref="B70:H70">B14-B34-B62-B65</f>
        <v>0</v>
      </c>
      <c r="C70" s="468" t="e">
        <f t="shared" si="17"/>
        <v>#DIV/0!</v>
      </c>
      <c r="D70" s="468" t="e">
        <f t="shared" si="17"/>
        <v>#DIV/0!</v>
      </c>
      <c r="E70" s="468" t="e">
        <f t="shared" si="17"/>
        <v>#N/A</v>
      </c>
      <c r="F70" s="468">
        <f t="shared" si="17"/>
        <v>0</v>
      </c>
      <c r="G70" s="468" t="e">
        <f t="shared" si="17"/>
        <v>#N/A</v>
      </c>
      <c r="H70" s="468" t="e">
        <f t="shared" si="17"/>
        <v>#N/A</v>
      </c>
      <c r="I70" s="339" t="e">
        <f>IF(ABS(B70-C70-D70-E70-G70-H70)&lt;0.000001,"OK","Pb")</f>
        <v>#DIV/0!</v>
      </c>
      <c r="L70" s="465"/>
      <c r="M70" s="465"/>
      <c r="N70" s="465"/>
      <c r="O70" s="465"/>
      <c r="P70" s="465"/>
      <c r="Q70" s="465"/>
      <c r="R70" s="465"/>
      <c r="S70" s="466"/>
      <c r="T70" s="466"/>
      <c r="U70" s="466"/>
      <c r="V70" s="466"/>
      <c r="W70" s="344"/>
      <c r="X70" s="344"/>
      <c r="Y70" s="344"/>
      <c r="Z70" s="344"/>
      <c r="AA70" s="344"/>
      <c r="AB70" s="344"/>
      <c r="AC70" s="274"/>
      <c r="AD70" s="274"/>
      <c r="AE70" s="274"/>
    </row>
    <row r="71" spans="1:33" ht="13.5" customHeight="1">
      <c r="A71" s="469" t="s">
        <v>320</v>
      </c>
      <c r="B71" s="470">
        <f>MSA</f>
        <v>0</v>
      </c>
      <c r="C71" s="471" t="e">
        <f>AA71*UGBCAP+AC71*$N$6+AD71*$O$6</f>
        <v>#N/A</v>
      </c>
      <c r="D71" s="472" t="e">
        <f>(W71*UGBBL)+(X71*UGBBV)+(Y71*UGBOV)+(UGBOL*Z71)+(UGBEQ*AB71)+AC71*$N$7+AD71*$O$7</f>
        <v>#N/A</v>
      </c>
      <c r="E71" s="472" t="e">
        <f>AE71*CV</f>
        <v>#N/A</v>
      </c>
      <c r="F71" s="472">
        <f>IF(CV&gt;0,E71*CVCAP/CV,0)</f>
        <v>0</v>
      </c>
      <c r="G71" s="472" t="e">
        <f>AF71*CP</f>
        <v>#N/A</v>
      </c>
      <c r="H71" s="473" t="e">
        <f>AG71*CS</f>
        <v>#N/A</v>
      </c>
      <c r="I71" s="339" t="e">
        <f>IF(ABS(B71-C71-D71-E71-G71-H71)&lt;0.000001,"OK","Pb")</f>
        <v>#N/A</v>
      </c>
      <c r="J71" s="365" t="s">
        <v>413</v>
      </c>
      <c r="L71" s="474">
        <f>Cuisine!B68</f>
        <v>1</v>
      </c>
      <c r="M71" s="474">
        <f>Cuisine!C68</f>
        <v>0</v>
      </c>
      <c r="N71" s="474">
        <f>Cuisine!D68</f>
        <v>0</v>
      </c>
      <c r="O71" s="474">
        <f>Cuisine!E68</f>
        <v>0</v>
      </c>
      <c r="P71" s="474">
        <f>Cuisine!F68</f>
        <v>0</v>
      </c>
      <c r="Q71" s="474">
        <f>Cuisine!G68</f>
        <v>0</v>
      </c>
      <c r="R71" s="474">
        <f>Cuisine!H68</f>
        <v>0</v>
      </c>
      <c r="S71" s="474" t="e">
        <f>Cuisine!I68</f>
        <v>#N/A</v>
      </c>
      <c r="T71" s="474" t="e">
        <f>Cuisine!J68</f>
        <v>#N/A</v>
      </c>
      <c r="U71" s="474">
        <f>Cuisine!K68</f>
        <v>3.9013710106360597</v>
      </c>
      <c r="V71" s="475">
        <f>Cuisine!L68</f>
        <v>1.4420841661498212</v>
      </c>
      <c r="W71" s="447" t="e">
        <f>B71*L71/($L$11*$L71+$M$11*M71+$N$11*N71+$O$11*O71+$P$11*$P71+$Q$11*$Q71+$R28*R71+$S$11*S71+$T$11*T71+$U$11*U71+$V$11*V71)</f>
        <v>#N/A</v>
      </c>
      <c r="X71" s="439" t="e">
        <f>W71/$L71*M71</f>
        <v>#N/A</v>
      </c>
      <c r="Y71" s="439" t="e">
        <f>W71/$L71*N71</f>
        <v>#N/A</v>
      </c>
      <c r="Z71" s="439" t="e">
        <f>W71/$L71*O71</f>
        <v>#N/A</v>
      </c>
      <c r="AA71" s="439" t="e">
        <f>W71/$L71*P71</f>
        <v>#N/A</v>
      </c>
      <c r="AB71" s="439" t="e">
        <f>W71/$L71*Q71</f>
        <v>#N/A</v>
      </c>
      <c r="AC71" s="439" t="e">
        <f>W71/$L71*R71</f>
        <v>#N/A</v>
      </c>
      <c r="AD71" s="439" t="e">
        <f>W71/$L71*S71</f>
        <v>#N/A</v>
      </c>
      <c r="AE71" s="439" t="e">
        <f>W71/$L71*T71</f>
        <v>#N/A</v>
      </c>
      <c r="AF71" s="439" t="e">
        <f>W71/$L71*U71</f>
        <v>#N/A</v>
      </c>
      <c r="AG71" s="439" t="e">
        <f>W71/$L71*V71</f>
        <v>#N/A</v>
      </c>
    </row>
    <row r="72" spans="1:31" ht="13.5" customHeight="1">
      <c r="A72" s="476" t="s">
        <v>447</v>
      </c>
      <c r="B72" s="477">
        <f>B14-B34+B61-B71-IF-'Saisie '!C115+'Saisie '!C114+'Saisie '!C64+PEX-CHARGEX</f>
        <v>0</v>
      </c>
      <c r="C72" s="478"/>
      <c r="D72" s="479"/>
      <c r="E72" s="479"/>
      <c r="F72" s="479"/>
      <c r="G72" s="479"/>
      <c r="H72" s="480"/>
      <c r="I72" s="339"/>
      <c r="L72" s="465"/>
      <c r="M72" s="465"/>
      <c r="N72" s="465"/>
      <c r="O72" s="465"/>
      <c r="P72" s="465"/>
      <c r="Q72" s="465"/>
      <c r="R72" s="465"/>
      <c r="S72" s="466"/>
      <c r="T72" s="466"/>
      <c r="U72" s="466"/>
      <c r="V72" s="466"/>
      <c r="W72" s="344"/>
      <c r="X72" s="344"/>
      <c r="Y72" s="344"/>
      <c r="Z72" s="344"/>
      <c r="AA72" s="344"/>
      <c r="AB72" s="344"/>
      <c r="AC72" s="274"/>
      <c r="AD72" s="274"/>
      <c r="AE72" s="274"/>
    </row>
    <row r="73" spans="1:31" ht="13.5" customHeight="1">
      <c r="A73" s="481" t="s">
        <v>448</v>
      </c>
      <c r="B73" s="482">
        <f>'Saisie '!C112</f>
        <v>0</v>
      </c>
      <c r="C73" s="483"/>
      <c r="D73" s="484"/>
      <c r="E73" s="484"/>
      <c r="F73" s="484"/>
      <c r="G73" s="484"/>
      <c r="H73" s="485"/>
      <c r="I73" s="339"/>
      <c r="L73" s="465"/>
      <c r="M73" s="465"/>
      <c r="N73" s="465"/>
      <c r="O73" s="465"/>
      <c r="P73" s="465"/>
      <c r="Q73" s="465"/>
      <c r="R73" s="465"/>
      <c r="S73" s="466"/>
      <c r="T73" s="466"/>
      <c r="U73" s="466"/>
      <c r="V73" s="466"/>
      <c r="W73" s="344"/>
      <c r="X73" s="344"/>
      <c r="Y73" s="344"/>
      <c r="Z73" s="344"/>
      <c r="AA73" s="344"/>
      <c r="AB73" s="344"/>
      <c r="AC73" s="274"/>
      <c r="AD73" s="274"/>
      <c r="AE73" s="274"/>
    </row>
    <row r="74" spans="3:31" ht="12">
      <c r="C74" s="270">
        <f>AA74*UGBCAP+Y74*$N$6+Z74*$O$6</f>
        <v>0</v>
      </c>
      <c r="D74" s="269">
        <f>(W74*UGBBL)+(X74*UGBBV)+(Y74*UGBOV)+(UGBOL*Z74)+(UGBEQ*AB74)+Y74*$N$7+Z74*$O$7</f>
        <v>0</v>
      </c>
      <c r="E74" s="269">
        <f>AE74*CV</f>
        <v>0</v>
      </c>
      <c r="F74" s="472">
        <f>IF(CV&gt;0,E74*CVCAP/CV,0)</f>
        <v>0</v>
      </c>
      <c r="G74" s="472"/>
      <c r="H74" s="480"/>
      <c r="I74" s="339" t="str">
        <f>IF(ABS(B74-C74-D74-E74-G74-H74)&lt;0.000001,"OK","Pb")</f>
        <v>OK</v>
      </c>
      <c r="L74" s="465"/>
      <c r="M74" s="465"/>
      <c r="N74" s="465"/>
      <c r="O74" s="465"/>
      <c r="P74" s="465"/>
      <c r="Q74" s="465"/>
      <c r="R74" s="465"/>
      <c r="S74" s="466"/>
      <c r="T74" s="466"/>
      <c r="U74" s="466"/>
      <c r="V74" s="466"/>
      <c r="W74" s="344"/>
      <c r="X74" s="344"/>
      <c r="Y74" s="344"/>
      <c r="Z74" s="344"/>
      <c r="AA74" s="344"/>
      <c r="AB74" s="344"/>
      <c r="AC74" s="274"/>
      <c r="AD74" s="274"/>
      <c r="AE74" s="274"/>
    </row>
    <row r="75" spans="1:33" ht="13.5" customHeight="1">
      <c r="A75" s="486" t="s">
        <v>449</v>
      </c>
      <c r="B75" s="487">
        <f>'Saisie '!C113</f>
        <v>0</v>
      </c>
      <c r="C75" s="270" t="e">
        <f>AA75*UGBCAP+AC75*$N$6+AD75*$O$6</f>
        <v>#N/A</v>
      </c>
      <c r="D75" s="269" t="e">
        <f>(W75*UGBBL)+(X75*UGBBV)+(Y75*UGBOV)+(UGBOL*Z75)+(UGBEQ*AB75)+AC75*$N$7+AC75*$O$7</f>
        <v>#N/A</v>
      </c>
      <c r="E75" s="269" t="e">
        <f>AE75*CV</f>
        <v>#N/A</v>
      </c>
      <c r="F75" s="479">
        <f>IF(CV&gt;0,E75*CVCAP/CV,0)</f>
        <v>0</v>
      </c>
      <c r="G75" s="479" t="e">
        <f>AF75*CP</f>
        <v>#N/A</v>
      </c>
      <c r="H75" s="480" t="e">
        <f>AG75*CS</f>
        <v>#N/A</v>
      </c>
      <c r="I75" s="339" t="e">
        <f>IF(ABS(B75-C75-D75-E75-G75-H75)&lt;0.000001,"OK","Pb")</f>
        <v>#N/A</v>
      </c>
      <c r="J75" s="365" t="s">
        <v>413</v>
      </c>
      <c r="L75" s="474">
        <f>Cuisine!B67</f>
        <v>1</v>
      </c>
      <c r="M75" s="474">
        <f>Cuisine!C67</f>
        <v>0</v>
      </c>
      <c r="N75" s="474">
        <f>Cuisine!D67</f>
        <v>0</v>
      </c>
      <c r="O75" s="474">
        <f>Cuisine!E67</f>
        <v>0</v>
      </c>
      <c r="P75" s="474">
        <f>Cuisine!F67</f>
        <v>0</v>
      </c>
      <c r="Q75" s="474">
        <f>Cuisine!G67</f>
        <v>0</v>
      </c>
      <c r="R75" s="474">
        <f>Cuisine!H67</f>
        <v>0</v>
      </c>
      <c r="S75" s="474" t="e">
        <f>Cuisine!I67</f>
        <v>#N/A</v>
      </c>
      <c r="T75" s="474" t="e">
        <f>Cuisine!J67</f>
        <v>#N/A</v>
      </c>
      <c r="U75" s="474">
        <f>Cuisine!K67</f>
        <v>1.038510164338356</v>
      </c>
      <c r="V75" s="474">
        <f>Cuisine!L67</f>
        <v>0.08668812580876145</v>
      </c>
      <c r="W75" s="447" t="e">
        <f>B75*L75/($L$11*$L75+$M$11*M75+$N$11*N75+$O$11*O75+$P$11*$P75+$Q$11*$Q75+$R32*R75+$S$11*S75+$T$11*T75+$U$11*U75+$V$11*V75)</f>
        <v>#N/A</v>
      </c>
      <c r="X75" s="439" t="e">
        <f>W75/$L75*M75</f>
        <v>#N/A</v>
      </c>
      <c r="Y75" s="439" t="e">
        <f>W75/$L75*N75</f>
        <v>#N/A</v>
      </c>
      <c r="Z75" s="439" t="e">
        <f>W75/$L75*O75</f>
        <v>#N/A</v>
      </c>
      <c r="AA75" s="439" t="e">
        <f>W75/$L75*P75</f>
        <v>#N/A</v>
      </c>
      <c r="AB75" s="439" t="e">
        <f>W75/$L75*Q75</f>
        <v>#N/A</v>
      </c>
      <c r="AC75" s="439" t="e">
        <f>W75/$L75*R75</f>
        <v>#N/A</v>
      </c>
      <c r="AD75" s="439" t="e">
        <f>W75/$L75*S75</f>
        <v>#N/A</v>
      </c>
      <c r="AE75" s="439" t="e">
        <f>W75/$L75*T75</f>
        <v>#N/A</v>
      </c>
      <c r="AF75" s="439" t="e">
        <f>W75/$L75*U75</f>
        <v>#N/A</v>
      </c>
      <c r="AG75" s="439" t="e">
        <f>W75/$L75*V75</f>
        <v>#N/A</v>
      </c>
    </row>
    <row r="76" spans="1:18" ht="12.75">
      <c r="A76" s="488" t="s">
        <v>450</v>
      </c>
      <c r="B76" s="489">
        <f>B14-B34-B62</f>
        <v>0</v>
      </c>
      <c r="C76" s="483"/>
      <c r="D76" s="484"/>
      <c r="E76" s="484"/>
      <c r="F76" s="484"/>
      <c r="G76" s="484"/>
      <c r="H76" s="485"/>
      <c r="I76" s="339"/>
      <c r="Q76" s="344"/>
      <c r="R76" s="344"/>
    </row>
    <row r="77" spans="1:18" ht="12">
      <c r="A77" s="369"/>
      <c r="Q77" s="344"/>
      <c r="R77" s="344"/>
    </row>
    <row r="78" spans="1:18" ht="12">
      <c r="A78" s="490" t="s">
        <v>451</v>
      </c>
      <c r="B78" s="491"/>
      <c r="C78" s="491"/>
      <c r="D78" s="492"/>
      <c r="E78" s="492"/>
      <c r="F78" s="493"/>
      <c r="G78" s="494"/>
      <c r="H78" s="494"/>
      <c r="Q78" s="344"/>
      <c r="R78" s="344"/>
    </row>
    <row r="79" spans="1:5" ht="12">
      <c r="A79" s="369"/>
      <c r="D79" s="268"/>
      <c r="E79" s="268"/>
    </row>
    <row r="80" spans="1:8" ht="12">
      <c r="A80" s="495" t="s">
        <v>452</v>
      </c>
      <c r="B80" s="496">
        <f>CV-(CVCAP)</f>
        <v>0</v>
      </c>
      <c r="C80" s="321" t="s">
        <v>453</v>
      </c>
      <c r="D80" s="268"/>
      <c r="E80" s="497">
        <f>IF(CVEN&gt;0,E14/CV,"")</f>
      </c>
      <c r="F80" s="270" t="s">
        <v>454</v>
      </c>
      <c r="G80" s="270"/>
      <c r="H80" s="270"/>
    </row>
    <row r="81" spans="1:8" ht="12">
      <c r="A81" s="495" t="s">
        <v>455</v>
      </c>
      <c r="B81" s="498" t="e">
        <f>IF(OR(MOREP=0,PAUMO&lt;&gt;""),(UMOns+UMOs)*(((E68-F68)/B68)+IF(SAL=0,0,((E60-F60)/B60))),UMOSACV+UMOCV)</f>
        <v>#N/A</v>
      </c>
      <c r="C81" s="321" t="s">
        <v>456</v>
      </c>
      <c r="E81" s="497">
        <f>IF(CVEN&gt;0,E38/CV,"")</f>
      </c>
      <c r="F81" s="270" t="s">
        <v>454</v>
      </c>
      <c r="G81" s="270"/>
      <c r="H81" s="270"/>
    </row>
    <row r="82" spans="1:8" ht="12">
      <c r="A82" s="495" t="s">
        <v>457</v>
      </c>
      <c r="B82" s="499">
        <f>IF(CVEN&gt;0,B80/B81,"")</f>
      </c>
      <c r="C82" s="321" t="s">
        <v>458</v>
      </c>
      <c r="E82" s="497">
        <f>IF(CVEN&gt;0,((E48+E53+E57+E62+E71))/CV,"")</f>
      </c>
      <c r="F82" s="270" t="s">
        <v>454</v>
      </c>
      <c r="G82" s="270"/>
      <c r="H82" s="270"/>
    </row>
    <row r="83" spans="2:8" ht="12">
      <c r="B83" s="268"/>
      <c r="C83" s="321" t="s">
        <v>459</v>
      </c>
      <c r="E83" s="497">
        <f>IF(CVEN&gt;0,E80-E81-E82,"")</f>
      </c>
      <c r="F83" s="270" t="s">
        <v>454</v>
      </c>
      <c r="G83" s="270"/>
      <c r="H83" s="270"/>
    </row>
    <row r="84" spans="1:14" ht="12">
      <c r="A84" s="369"/>
      <c r="L84" s="268"/>
      <c r="M84" s="269"/>
      <c r="N84" s="268"/>
    </row>
    <row r="85" spans="1:14" ht="18">
      <c r="A85" s="500" t="s">
        <v>460</v>
      </c>
      <c r="B85" s="501" t="e">
        <f>B72/B73</f>
        <v>#DIV/0!</v>
      </c>
      <c r="L85" s="268"/>
      <c r="M85" s="269"/>
      <c r="N85" s="268"/>
    </row>
  </sheetData>
  <sheetProtection password="BF82" sheet="1"/>
  <mergeCells count="13">
    <mergeCell ref="B9:B11"/>
    <mergeCell ref="C9:C11"/>
    <mergeCell ref="D9:D11"/>
    <mergeCell ref="E9:E11"/>
    <mergeCell ref="F9:F11"/>
    <mergeCell ref="G9:G11"/>
    <mergeCell ref="AC46:AG46"/>
    <mergeCell ref="H9:H11"/>
    <mergeCell ref="J9:J12"/>
    <mergeCell ref="L9:V9"/>
    <mergeCell ref="W10:X10"/>
    <mergeCell ref="Y10:AA10"/>
    <mergeCell ref="W46:AB46"/>
  </mergeCells>
  <conditionalFormatting sqref="I14:I76">
    <cfRule type="cellIs" priority="1" dxfId="1" operator="equal" stopIfTrue="1">
      <formula>"Pb"</formula>
    </cfRule>
    <cfRule type="cellIs" priority="2" dxfId="0" operator="equal" stopIfTrue="1">
      <formula>"OK"</formula>
    </cfRule>
  </conditionalFormatting>
  <dataValidations count="1">
    <dataValidation type="list" allowBlank="1" showErrorMessage="1" sqref="K23 K39:K41 K43:K44 K46:K47 K49:K52 K54:K56 K58 K60:K61 K63:K65 K67:K68 K71 K75">
      <formula1>NA()</formula1>
      <formula2>0</formula2>
    </dataValidation>
  </dataValidations>
  <printOptions horizontalCentered="1"/>
  <pageMargins left="0.39375" right="0.39375" top="0.39375" bottom="0.7875" header="0.5118055555555555" footer="0.39375"/>
  <pageSetup fitToHeight="0" fitToWidth="1" horizontalDpi="300" verticalDpi="300" orientation="portrait" paperSize="9"/>
  <headerFooter alignWithMargins="0">
    <oddFooter>&amp;C&amp;8&amp;F - Feuille &amp;A - page &amp;P /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M85"/>
  <sheetViews>
    <sheetView tabSelected="1" zoomScalePageLayoutView="0" workbookViewId="0" topLeftCell="A1">
      <selection activeCell="I84" sqref="A1:I84"/>
    </sheetView>
  </sheetViews>
  <sheetFormatPr defaultColWidth="11.421875" defaultRowHeight="12.75"/>
  <cols>
    <col min="1" max="1" width="4.8515625" style="0" customWidth="1"/>
    <col min="2" max="2" width="46.00390625" style="0" customWidth="1"/>
  </cols>
  <sheetData>
    <row r="1" spans="2:13" s="268" customFormat="1" ht="15" customHeight="1">
      <c r="B1" s="502"/>
      <c r="C1" s="344"/>
      <c r="D1" s="344"/>
      <c r="M1" s="503"/>
    </row>
    <row r="2" spans="2:13" s="268" customFormat="1" ht="18" customHeight="1">
      <c r="B2" s="504"/>
      <c r="C2" s="344"/>
      <c r="D2" s="317"/>
      <c r="M2" s="503"/>
    </row>
    <row r="3" spans="2:13" s="268" customFormat="1" ht="12" customHeight="1">
      <c r="B3" s="502"/>
      <c r="C3" s="344"/>
      <c r="D3" s="344"/>
      <c r="M3" s="503"/>
    </row>
    <row r="4" spans="5:6" ht="14.25" customHeight="1">
      <c r="E4" s="1379" t="s">
        <v>68</v>
      </c>
      <c r="F4" s="1379"/>
    </row>
    <row r="5" spans="2:6" ht="12.75">
      <c r="B5" s="505" t="s">
        <v>461</v>
      </c>
      <c r="E5" s="1380">
        <f>DATEVER</f>
        <v>43515</v>
      </c>
      <c r="F5" s="1380"/>
    </row>
    <row r="6" ht="12.75">
      <c r="B6" s="506" t="s">
        <v>462</v>
      </c>
    </row>
    <row r="8" spans="1:9" ht="12.75">
      <c r="A8" s="507" t="s">
        <v>463</v>
      </c>
      <c r="B8" s="508"/>
      <c r="C8" s="509"/>
      <c r="D8" s="510"/>
      <c r="E8" s="510"/>
      <c r="F8" s="510"/>
      <c r="G8" s="510"/>
      <c r="H8" s="510"/>
      <c r="I8" s="510"/>
    </row>
    <row r="9" spans="1:9" ht="12.75">
      <c r="A9" s="511"/>
      <c r="B9" s="511" t="s">
        <v>94</v>
      </c>
      <c r="C9" s="512"/>
      <c r="D9" s="513" t="s">
        <v>96</v>
      </c>
      <c r="E9" s="514" t="s">
        <v>31</v>
      </c>
      <c r="F9" s="514"/>
      <c r="G9" s="514"/>
      <c r="H9" s="514"/>
      <c r="I9" s="514"/>
    </row>
    <row r="10" spans="1:5" s="518" customFormat="1" ht="12.75">
      <c r="A10" s="515"/>
      <c r="B10" s="515"/>
      <c r="C10" s="516"/>
      <c r="D10" s="517"/>
      <c r="E10" s="515"/>
    </row>
    <row r="11" spans="1:5" s="518" customFormat="1" ht="14.25">
      <c r="A11" s="515"/>
      <c r="B11" s="519" t="str">
        <f>CONCATENATE("Campagne : ",CAMP)</f>
        <v>Campagne : 2019</v>
      </c>
      <c r="C11" s="520">
        <f>CAMP</f>
        <v>2019</v>
      </c>
      <c r="D11" s="517"/>
      <c r="E11" s="515"/>
    </row>
    <row r="12" spans="1:5" ht="12.75">
      <c r="A12" s="521"/>
      <c r="B12" s="521"/>
      <c r="C12" s="521"/>
      <c r="D12" s="521"/>
      <c r="E12" s="521"/>
    </row>
    <row r="13" spans="1:9" ht="12.75">
      <c r="A13" s="522" t="s">
        <v>464</v>
      </c>
      <c r="B13" s="522"/>
      <c r="C13" s="522"/>
      <c r="D13" s="522"/>
      <c r="E13" s="522"/>
      <c r="F13" s="522"/>
      <c r="G13" s="522"/>
      <c r="H13" s="522"/>
      <c r="I13" s="522"/>
    </row>
    <row r="14" spans="1:5" ht="12.75">
      <c r="A14" s="518"/>
      <c r="B14" s="518"/>
      <c r="C14" s="518"/>
      <c r="D14" s="518"/>
      <c r="E14" s="518"/>
    </row>
    <row r="15" spans="1:5" ht="12.75">
      <c r="A15" s="518"/>
      <c r="B15" s="518" t="s">
        <v>465</v>
      </c>
      <c r="C15" s="523"/>
      <c r="D15" s="518"/>
      <c r="E15" s="518" t="s">
        <v>466</v>
      </c>
    </row>
    <row r="16" spans="1:9" ht="12.75">
      <c r="A16" s="518"/>
      <c r="B16" s="524" t="s">
        <v>467</v>
      </c>
      <c r="C16" s="523"/>
      <c r="D16" s="525"/>
      <c r="E16" s="526" t="s">
        <v>466</v>
      </c>
      <c r="F16" s="527"/>
      <c r="G16" s="527"/>
      <c r="H16" s="527"/>
      <c r="I16" s="527"/>
    </row>
    <row r="17" spans="1:5" ht="12.75">
      <c r="A17" s="518"/>
      <c r="B17" s="518"/>
      <c r="C17" s="518"/>
      <c r="D17" s="518"/>
      <c r="E17" s="518"/>
    </row>
    <row r="18" spans="1:9" ht="12.75">
      <c r="A18" s="518"/>
      <c r="B18" s="524" t="s">
        <v>468</v>
      </c>
      <c r="C18" s="523"/>
      <c r="D18" s="525"/>
      <c r="E18" s="223" t="s">
        <v>469</v>
      </c>
      <c r="F18" s="527"/>
      <c r="G18" s="527"/>
      <c r="H18" s="527"/>
      <c r="I18" s="527"/>
    </row>
    <row r="19" spans="1:9" ht="12.75">
      <c r="A19" s="518"/>
      <c r="B19" s="524" t="s">
        <v>470</v>
      </c>
      <c r="C19" s="528">
        <f>IF(C18=0,"",C18/'Edition 1'!B61)</f>
      </c>
      <c r="D19" s="525"/>
      <c r="E19" s="527"/>
      <c r="F19" s="527"/>
      <c r="G19" s="527"/>
      <c r="H19" s="527"/>
      <c r="I19" s="527"/>
    </row>
    <row r="20" spans="1:9" ht="12.75">
      <c r="A20" s="518"/>
      <c r="B20" s="524" t="s">
        <v>471</v>
      </c>
      <c r="C20" s="523"/>
      <c r="D20" s="525"/>
      <c r="E20" s="526"/>
      <c r="F20" s="527"/>
      <c r="G20" s="527"/>
      <c r="H20" s="527"/>
      <c r="I20" s="527"/>
    </row>
    <row r="21" spans="1:9" ht="12.75">
      <c r="A21" s="518"/>
      <c r="B21" s="524" t="s">
        <v>472</v>
      </c>
      <c r="C21" s="523"/>
      <c r="D21" s="525"/>
      <c r="E21" s="526"/>
      <c r="F21" s="527"/>
      <c r="G21" s="527"/>
      <c r="H21" s="527"/>
      <c r="I21" s="527"/>
    </row>
    <row r="22" spans="2:9" ht="12.75">
      <c r="B22" s="524" t="s">
        <v>473</v>
      </c>
      <c r="C22" s="523"/>
      <c r="D22" s="529"/>
      <c r="E22" s="527"/>
      <c r="F22" s="527"/>
      <c r="G22" s="527"/>
      <c r="H22" s="527"/>
      <c r="I22" s="527"/>
    </row>
    <row r="23" spans="2:9" ht="12.75">
      <c r="B23" s="524" t="s">
        <v>474</v>
      </c>
      <c r="C23" s="523"/>
      <c r="D23" s="529"/>
      <c r="E23" s="527"/>
      <c r="F23" s="527"/>
      <c r="G23" s="527"/>
      <c r="H23" s="527"/>
      <c r="I23" s="527"/>
    </row>
    <row r="24" spans="2:9" s="518" customFormat="1" ht="12.75">
      <c r="B24" s="530"/>
      <c r="C24" s="531"/>
      <c r="D24" s="532"/>
      <c r="E24" s="526"/>
      <c r="F24" s="526"/>
      <c r="G24" s="526"/>
      <c r="H24" s="526"/>
      <c r="I24" s="526"/>
    </row>
    <row r="25" spans="1:9" ht="12.75">
      <c r="A25" s="521"/>
      <c r="B25" s="524" t="s">
        <v>475</v>
      </c>
      <c r="C25" s="528">
        <f>LCB*1000</f>
        <v>0</v>
      </c>
      <c r="D25" s="533" t="s">
        <v>476</v>
      </c>
      <c r="E25" s="223" t="s">
        <v>477</v>
      </c>
      <c r="F25" s="527"/>
      <c r="G25" s="527"/>
      <c r="H25" s="527"/>
      <c r="I25" s="527"/>
    </row>
    <row r="26" spans="1:9" ht="12.75">
      <c r="A26" s="521"/>
      <c r="B26" s="534" t="s">
        <v>478</v>
      </c>
      <c r="C26" s="523"/>
      <c r="D26" s="533" t="s">
        <v>476</v>
      </c>
      <c r="E26" s="223"/>
      <c r="F26" s="527"/>
      <c r="G26" s="527"/>
      <c r="H26" s="527"/>
      <c r="I26" s="527"/>
    </row>
    <row r="27" spans="1:9" ht="12.75">
      <c r="A27" s="521"/>
      <c r="B27" s="524" t="s">
        <v>479</v>
      </c>
      <c r="C27" s="528">
        <f>IF(C18=0,"",(LCB*1000)/C18)</f>
      </c>
      <c r="D27" s="533" t="s">
        <v>480</v>
      </c>
      <c r="E27" s="223" t="s">
        <v>481</v>
      </c>
      <c r="F27" s="527"/>
      <c r="G27" s="527"/>
      <c r="H27" s="527"/>
      <c r="I27" s="527"/>
    </row>
    <row r="28" spans="1:9" ht="12.75">
      <c r="A28" s="521"/>
      <c r="B28" s="524" t="s">
        <v>482</v>
      </c>
      <c r="C28" s="523"/>
      <c r="D28" s="533" t="s">
        <v>483</v>
      </c>
      <c r="E28" s="223"/>
      <c r="F28" s="527"/>
      <c r="G28" s="527"/>
      <c r="H28" s="527"/>
      <c r="I28" s="527"/>
    </row>
    <row r="29" spans="1:9" ht="12.75">
      <c r="A29" s="521"/>
      <c r="B29" s="524" t="s">
        <v>484</v>
      </c>
      <c r="C29" s="523"/>
      <c r="D29" s="533" t="s">
        <v>483</v>
      </c>
      <c r="E29" s="223"/>
      <c r="F29" s="527"/>
      <c r="G29" s="527"/>
      <c r="H29" s="527"/>
      <c r="I29" s="527"/>
    </row>
    <row r="30" spans="1:5" ht="12.75">
      <c r="A30" s="521"/>
      <c r="B30" s="535"/>
      <c r="C30" s="535"/>
      <c r="D30" s="536"/>
      <c r="E30" s="536"/>
    </row>
    <row r="31" spans="1:9" ht="12.75">
      <c r="A31" s="522" t="s">
        <v>485</v>
      </c>
      <c r="B31" s="522"/>
      <c r="C31" s="522"/>
      <c r="D31" s="522"/>
      <c r="E31" s="522"/>
      <c r="F31" s="522"/>
      <c r="G31" s="522"/>
      <c r="H31" s="522"/>
      <c r="I31" s="522"/>
    </row>
    <row r="32" spans="1:11" ht="14.25">
      <c r="A32" s="521"/>
      <c r="B32" s="537" t="s">
        <v>486</v>
      </c>
      <c r="C32" s="538"/>
      <c r="D32" s="223" t="s">
        <v>487</v>
      </c>
      <c r="E32" s="223" t="s">
        <v>488</v>
      </c>
      <c r="F32" s="527"/>
      <c r="G32" s="527"/>
      <c r="H32" s="527"/>
      <c r="I32" s="527"/>
      <c r="K32" s="539"/>
    </row>
    <row r="33" spans="1:11" ht="14.25">
      <c r="A33" s="521"/>
      <c r="B33" s="524" t="s">
        <v>489</v>
      </c>
      <c r="C33" s="538"/>
      <c r="D33" s="223" t="s">
        <v>490</v>
      </c>
      <c r="E33" s="223" t="s">
        <v>491</v>
      </c>
      <c r="F33" s="527"/>
      <c r="G33" s="527"/>
      <c r="H33" s="527"/>
      <c r="I33" s="527"/>
      <c r="K33" s="539"/>
    </row>
    <row r="34" spans="1:11" ht="14.25">
      <c r="A34" s="521"/>
      <c r="B34" s="537" t="s">
        <v>492</v>
      </c>
      <c r="C34" s="538"/>
      <c r="D34" s="223" t="s">
        <v>487</v>
      </c>
      <c r="E34" s="223" t="s">
        <v>493</v>
      </c>
      <c r="F34" s="527"/>
      <c r="G34" s="527"/>
      <c r="H34" s="527"/>
      <c r="I34" s="527"/>
      <c r="K34" s="539"/>
    </row>
    <row r="35" spans="1:11" ht="14.25">
      <c r="A35" s="521"/>
      <c r="B35" s="524" t="s">
        <v>494</v>
      </c>
      <c r="C35" s="538"/>
      <c r="D35" s="223" t="s">
        <v>490</v>
      </c>
      <c r="E35" s="223" t="s">
        <v>495</v>
      </c>
      <c r="F35" s="527"/>
      <c r="G35" s="527"/>
      <c r="H35" s="527"/>
      <c r="I35" s="527"/>
      <c r="K35" s="539"/>
    </row>
    <row r="36" spans="1:11" ht="14.25">
      <c r="A36" s="521"/>
      <c r="B36" s="524" t="s">
        <v>496</v>
      </c>
      <c r="C36" s="538"/>
      <c r="D36" s="223" t="s">
        <v>487</v>
      </c>
      <c r="E36" s="223" t="s">
        <v>497</v>
      </c>
      <c r="F36" s="527"/>
      <c r="G36" s="527"/>
      <c r="H36" s="527"/>
      <c r="I36" s="527"/>
      <c r="K36" s="539"/>
    </row>
    <row r="37" spans="1:11" ht="14.25">
      <c r="A37" s="521"/>
      <c r="B37" s="524" t="s">
        <v>498</v>
      </c>
      <c r="C37" s="540">
        <f>IF(C18="","",(C32+C34+C36)/C18)</f>
      </c>
      <c r="D37" s="223" t="s">
        <v>499</v>
      </c>
      <c r="E37" s="223" t="s">
        <v>500</v>
      </c>
      <c r="F37" s="527"/>
      <c r="G37" s="527"/>
      <c r="H37" s="527"/>
      <c r="I37" s="527"/>
      <c r="K37" s="539"/>
    </row>
    <row r="38" spans="1:11" ht="14.25">
      <c r="A38" s="521"/>
      <c r="B38" s="524" t="s">
        <v>501</v>
      </c>
      <c r="C38" s="540">
        <f>IF(C25=0,"",(C32+C34+C36)/(0.001*C25))</f>
      </c>
      <c r="D38" s="223" t="s">
        <v>483</v>
      </c>
      <c r="E38" s="223" t="s">
        <v>502</v>
      </c>
      <c r="F38" s="527"/>
      <c r="G38" s="527"/>
      <c r="H38" s="527"/>
      <c r="I38" s="527"/>
      <c r="K38" s="539"/>
    </row>
    <row r="39" spans="1:11" ht="14.25">
      <c r="A39" s="521"/>
      <c r="B39" s="537" t="s">
        <v>503</v>
      </c>
      <c r="C39" s="538"/>
      <c r="D39" s="223" t="s">
        <v>487</v>
      </c>
      <c r="E39" s="223" t="s">
        <v>504</v>
      </c>
      <c r="F39" s="527"/>
      <c r="G39" s="527"/>
      <c r="H39" s="527"/>
      <c r="I39" s="527"/>
      <c r="K39" s="539"/>
    </row>
    <row r="40" spans="1:11" ht="14.25">
      <c r="A40" s="521"/>
      <c r="B40" s="524" t="s">
        <v>505</v>
      </c>
      <c r="C40" s="538"/>
      <c r="D40" s="223" t="s">
        <v>490</v>
      </c>
      <c r="E40" s="223" t="s">
        <v>506</v>
      </c>
      <c r="F40" s="527"/>
      <c r="G40" s="527"/>
      <c r="H40" s="527"/>
      <c r="I40" s="527"/>
      <c r="K40" s="539"/>
    </row>
    <row r="41" spans="1:11" ht="14.25">
      <c r="A41" s="521"/>
      <c r="B41" s="524" t="s">
        <v>507</v>
      </c>
      <c r="C41" s="540">
        <f>IF(C18="","",C39/C18)</f>
      </c>
      <c r="D41" s="223" t="s">
        <v>499</v>
      </c>
      <c r="E41" s="223" t="s">
        <v>508</v>
      </c>
      <c r="F41" s="527"/>
      <c r="G41" s="527"/>
      <c r="H41" s="527"/>
      <c r="I41" s="527"/>
      <c r="K41" s="539"/>
    </row>
    <row r="42" spans="1:11" ht="14.25">
      <c r="A42" s="521"/>
      <c r="B42" s="524" t="s">
        <v>509</v>
      </c>
      <c r="C42" s="540">
        <f>IF(C25=0,"",C39/(0.001*C25))</f>
      </c>
      <c r="D42" s="223" t="s">
        <v>483</v>
      </c>
      <c r="E42" s="223" t="s">
        <v>510</v>
      </c>
      <c r="F42" s="527"/>
      <c r="G42" s="527"/>
      <c r="H42" s="527"/>
      <c r="I42" s="527"/>
      <c r="K42" s="539"/>
    </row>
    <row r="43" spans="1:11" ht="14.25">
      <c r="A43" s="521"/>
      <c r="B43" s="524" t="s">
        <v>511</v>
      </c>
      <c r="C43" s="540">
        <f>IF(C18="","",(C32+C34+C36+C39)/C18)</f>
      </c>
      <c r="D43" s="223" t="s">
        <v>499</v>
      </c>
      <c r="E43" s="223" t="s">
        <v>500</v>
      </c>
      <c r="F43" s="527"/>
      <c r="G43" s="527"/>
      <c r="H43" s="527"/>
      <c r="I43" s="527"/>
      <c r="K43" s="539"/>
    </row>
    <row r="44" spans="1:11" ht="14.25">
      <c r="A44" s="521"/>
      <c r="B44" s="524" t="s">
        <v>512</v>
      </c>
      <c r="C44" s="540">
        <f>IF(C25=0,"",(C32+C34+C36+C39)/(0.001*C25))</f>
      </c>
      <c r="D44" s="223" t="s">
        <v>483</v>
      </c>
      <c r="E44" s="223" t="s">
        <v>502</v>
      </c>
      <c r="F44" s="527"/>
      <c r="G44" s="527"/>
      <c r="H44" s="527"/>
      <c r="I44" s="527"/>
      <c r="K44" s="539"/>
    </row>
    <row r="45" spans="1:11" ht="14.25">
      <c r="A45" s="521"/>
      <c r="B45" s="524" t="s">
        <v>513</v>
      </c>
      <c r="C45" s="538"/>
      <c r="D45" s="223" t="s">
        <v>514</v>
      </c>
      <c r="E45" s="223" t="s">
        <v>515</v>
      </c>
      <c r="F45" s="527"/>
      <c r="G45" s="527"/>
      <c r="H45" s="527"/>
      <c r="I45" s="527"/>
      <c r="K45" s="539"/>
    </row>
    <row r="46" spans="1:11" ht="14.25">
      <c r="A46" s="521"/>
      <c r="B46" s="524" t="s">
        <v>516</v>
      </c>
      <c r="C46" s="538"/>
      <c r="D46" s="541" t="s">
        <v>517</v>
      </c>
      <c r="E46" s="223" t="s">
        <v>515</v>
      </c>
      <c r="F46" s="527"/>
      <c r="G46" s="527"/>
      <c r="H46" s="527"/>
      <c r="I46" s="527"/>
      <c r="K46" s="539"/>
    </row>
    <row r="47" spans="1:11" ht="14.25">
      <c r="A47" s="521"/>
      <c r="B47" s="537" t="s">
        <v>518</v>
      </c>
      <c r="C47" s="538"/>
      <c r="D47" s="223" t="s">
        <v>514</v>
      </c>
      <c r="E47" s="223" t="s">
        <v>515</v>
      </c>
      <c r="F47" s="527"/>
      <c r="G47" s="527"/>
      <c r="H47" s="527"/>
      <c r="I47" s="527"/>
      <c r="K47" s="539"/>
    </row>
    <row r="48" spans="1:11" ht="14.25">
      <c r="A48" s="521"/>
      <c r="B48" s="524" t="s">
        <v>519</v>
      </c>
      <c r="C48" s="538"/>
      <c r="D48" s="223" t="s">
        <v>520</v>
      </c>
      <c r="E48" s="223" t="s">
        <v>521</v>
      </c>
      <c r="F48" s="527"/>
      <c r="G48" s="527"/>
      <c r="H48" s="527"/>
      <c r="I48" s="527"/>
      <c r="K48" s="539"/>
    </row>
    <row r="49" spans="1:11" ht="14.25">
      <c r="A49" s="521"/>
      <c r="B49" s="537" t="s">
        <v>522</v>
      </c>
      <c r="C49" s="538"/>
      <c r="D49" s="541" t="s">
        <v>517</v>
      </c>
      <c r="E49" s="223" t="s">
        <v>515</v>
      </c>
      <c r="F49" s="527"/>
      <c r="G49" s="527"/>
      <c r="H49" s="527"/>
      <c r="I49" s="527"/>
      <c r="K49" s="539"/>
    </row>
    <row r="50" spans="1:11" ht="14.25">
      <c r="A50" s="521"/>
      <c r="B50" s="524" t="s">
        <v>523</v>
      </c>
      <c r="C50" s="538"/>
      <c r="D50" s="541" t="s">
        <v>524</v>
      </c>
      <c r="E50" s="223" t="s">
        <v>521</v>
      </c>
      <c r="F50" s="527"/>
      <c r="G50" s="527"/>
      <c r="H50" s="527"/>
      <c r="I50" s="527"/>
      <c r="K50" s="539"/>
    </row>
    <row r="51" spans="1:11" ht="14.25">
      <c r="A51" s="521"/>
      <c r="B51" s="524" t="s">
        <v>525</v>
      </c>
      <c r="C51" s="540">
        <f>IF(C18="","",((0.85*C45)+C46+(0.85*C47)+C49)*1000/C18)</f>
      </c>
      <c r="D51" s="223" t="s">
        <v>526</v>
      </c>
      <c r="E51" s="223"/>
      <c r="F51" s="527"/>
      <c r="G51" s="527"/>
      <c r="H51" s="527"/>
      <c r="I51" s="527"/>
      <c r="K51" s="539"/>
    </row>
    <row r="52" spans="1:9" ht="12.75">
      <c r="A52" s="521"/>
      <c r="B52" s="524" t="s">
        <v>527</v>
      </c>
      <c r="C52" s="538"/>
      <c r="D52" s="223" t="s">
        <v>528</v>
      </c>
      <c r="E52" s="223" t="s">
        <v>529</v>
      </c>
      <c r="F52" s="527"/>
      <c r="G52" s="527"/>
      <c r="H52" s="527"/>
      <c r="I52" s="527"/>
    </row>
    <row r="53" spans="1:9" ht="12.75">
      <c r="A53" s="521"/>
      <c r="B53" s="524" t="s">
        <v>530</v>
      </c>
      <c r="C53" s="540">
        <f>IF(C52="","",POUDCAP/C52*1000)</f>
      </c>
      <c r="D53" s="223" t="s">
        <v>531</v>
      </c>
      <c r="E53" s="223" t="s">
        <v>532</v>
      </c>
      <c r="F53" s="527"/>
      <c r="G53" s="527"/>
      <c r="H53" s="527"/>
      <c r="I53" s="527"/>
    </row>
    <row r="54" spans="1:9" ht="12.75">
      <c r="A54" s="521"/>
      <c r="B54" s="542"/>
      <c r="C54" s="543"/>
      <c r="D54" s="173"/>
      <c r="E54" s="173"/>
      <c r="F54" s="544"/>
      <c r="G54" s="544"/>
      <c r="H54" s="544"/>
      <c r="I54" s="544"/>
    </row>
    <row r="55" spans="1:9" ht="12.75">
      <c r="A55" s="522" t="s">
        <v>533</v>
      </c>
      <c r="B55" s="522"/>
      <c r="C55" s="522"/>
      <c r="D55" s="522"/>
      <c r="E55" s="522"/>
      <c r="F55" s="522"/>
      <c r="G55" s="522"/>
      <c r="H55" s="522"/>
      <c r="I55" s="522"/>
    </row>
    <row r="56" spans="1:9" ht="12.75">
      <c r="A56" s="521"/>
      <c r="B56" s="545" t="s">
        <v>534</v>
      </c>
      <c r="C56" s="546"/>
      <c r="D56" s="223"/>
      <c r="E56" s="223"/>
      <c r="F56" s="527"/>
      <c r="G56" s="527"/>
      <c r="H56" s="527"/>
      <c r="I56" s="527"/>
    </row>
    <row r="57" spans="1:9" ht="12.75">
      <c r="A57" s="521"/>
      <c r="B57" s="545" t="s">
        <v>535</v>
      </c>
      <c r="C57" s="547">
        <f>IF(C18="","",((C45*0.85)+C46+(C47*0.85)+C49))</f>
      </c>
      <c r="D57" s="223" t="s">
        <v>517</v>
      </c>
      <c r="E57" s="223"/>
      <c r="F57" s="527"/>
      <c r="G57" s="527"/>
      <c r="H57" s="527"/>
      <c r="I57" s="527"/>
    </row>
    <row r="58" spans="1:9" ht="12.75">
      <c r="A58" s="521"/>
      <c r="B58" s="545" t="s">
        <v>536</v>
      </c>
      <c r="C58" s="548">
        <f>IF(C18="","",IF(AND(C18&lt;&gt;"",C56="oui",((((C18*900)+(C21*900)+(C20*540))/1000)-C57)&gt;0)=TRUE,(((C18*900)+(C21*900)+(C20*540))/1000)-C57,0))</f>
      </c>
      <c r="D58" s="223" t="s">
        <v>517</v>
      </c>
      <c r="E58" s="223"/>
      <c r="F58" s="527"/>
      <c r="G58" s="527"/>
      <c r="H58" s="527"/>
      <c r="I58" s="527"/>
    </row>
    <row r="59" spans="1:9" ht="12.75">
      <c r="A59" s="521"/>
      <c r="B59" s="545" t="s">
        <v>537</v>
      </c>
      <c r="C59" s="548">
        <f>IF(C57="","",(C57+C58))</f>
      </c>
      <c r="D59" s="223" t="s">
        <v>517</v>
      </c>
      <c r="E59" s="223"/>
      <c r="F59" s="527"/>
      <c r="G59" s="527"/>
      <c r="H59" s="527"/>
      <c r="I59" s="527"/>
    </row>
    <row r="60" spans="1:9" ht="12.75">
      <c r="A60" s="521"/>
      <c r="B60" s="545" t="s">
        <v>538</v>
      </c>
      <c r="C60" s="549">
        <f>IF(C18="","",((((C45*0.85)+C46))+C58)/C59)</f>
      </c>
      <c r="D60" s="223" t="s">
        <v>539</v>
      </c>
      <c r="E60" s="223"/>
      <c r="F60" s="527"/>
      <c r="G60" s="527"/>
      <c r="H60" s="527"/>
      <c r="I60" s="527"/>
    </row>
    <row r="61" spans="1:9" ht="12.75">
      <c r="A61" s="521"/>
      <c r="B61" s="545" t="s">
        <v>540</v>
      </c>
      <c r="C61" s="548">
        <f>((C32*0.9)+(C34*0.87)+(C39*0.91))/1000</f>
        <v>0</v>
      </c>
      <c r="D61" s="223" t="s">
        <v>517</v>
      </c>
      <c r="E61" s="223"/>
      <c r="F61" s="527"/>
      <c r="G61" s="527"/>
      <c r="H61" s="527"/>
      <c r="I61" s="527"/>
    </row>
    <row r="62" spans="1:9" ht="12.75">
      <c r="A62" s="521"/>
      <c r="B62" s="545" t="s">
        <v>541</v>
      </c>
      <c r="C62" s="548">
        <f>((C32*0.9)+(C34*0.87)+(C36*0.87)+(C39*0.91))/1000</f>
        <v>0</v>
      </c>
      <c r="D62" s="223" t="s">
        <v>517</v>
      </c>
      <c r="E62" s="223"/>
      <c r="F62" s="527"/>
      <c r="G62" s="527"/>
      <c r="H62" s="527"/>
      <c r="I62" s="527"/>
    </row>
    <row r="63" spans="1:9" ht="12.75">
      <c r="A63" s="521"/>
      <c r="B63" s="545" t="s">
        <v>542</v>
      </c>
      <c r="C63" s="549">
        <f>IF(C62=0,"",(C62-C61)/C62)</f>
      </c>
      <c r="D63" s="223" t="s">
        <v>539</v>
      </c>
      <c r="E63" s="223"/>
      <c r="F63" s="527"/>
      <c r="G63" s="527"/>
      <c r="H63" s="527"/>
      <c r="I63" s="527"/>
    </row>
    <row r="64" spans="1:9" ht="12.75">
      <c r="A64" s="521"/>
      <c r="B64" s="550" t="s">
        <v>543</v>
      </c>
      <c r="C64" s="549">
        <f>IF(C18="","",(((C45*0.85)+C46+C58+(C62-C61))/(C59+C62)))</f>
      </c>
      <c r="D64" s="223" t="s">
        <v>539</v>
      </c>
      <c r="E64" s="223"/>
      <c r="F64" s="527"/>
      <c r="G64" s="527"/>
      <c r="H64" s="527"/>
      <c r="I64" s="527"/>
    </row>
    <row r="65" spans="1:9" ht="12.75">
      <c r="A65" s="521"/>
      <c r="B65" s="545" t="s">
        <v>544</v>
      </c>
      <c r="C65" s="549">
        <f>IF('Edition 1'!H26=0,"",('Edition 1'!H26-'Edition 1'!B11)/'Edition 1'!H26)</f>
      </c>
      <c r="D65" s="223" t="s">
        <v>539</v>
      </c>
      <c r="E65" s="223"/>
      <c r="F65" s="527"/>
      <c r="G65" s="527"/>
      <c r="H65" s="527"/>
      <c r="I65" s="527"/>
    </row>
    <row r="66" spans="1:9" ht="12.75">
      <c r="A66" s="521"/>
      <c r="B66" s="551"/>
      <c r="C66" s="552"/>
      <c r="D66" s="173"/>
      <c r="E66" s="173"/>
      <c r="F66" s="544"/>
      <c r="G66" s="544"/>
      <c r="H66" s="544"/>
      <c r="I66" s="544"/>
    </row>
    <row r="67" spans="1:9" ht="12.75">
      <c r="A67" s="521"/>
      <c r="B67" s="553" t="s">
        <v>545</v>
      </c>
      <c r="C67" s="553"/>
      <c r="D67" s="173"/>
      <c r="E67" s="173"/>
      <c r="F67" s="544"/>
      <c r="G67" s="544"/>
      <c r="H67" s="544"/>
      <c r="I67" s="544"/>
    </row>
    <row r="68" spans="1:9" ht="12.75">
      <c r="A68" s="521"/>
      <c r="B68" s="545" t="s">
        <v>546</v>
      </c>
      <c r="C68" s="549">
        <f>IF(C18="","",((C47*0.85)+C49+((C32*0.9)+(C34*0.87)+(C39*0.91))/1000)/(C59+C62))</f>
      </c>
      <c r="D68" s="223" t="s">
        <v>539</v>
      </c>
      <c r="E68" s="223"/>
      <c r="F68" s="527"/>
      <c r="G68" s="527"/>
      <c r="H68" s="527"/>
      <c r="I68" s="527"/>
    </row>
    <row r="69" spans="1:9" ht="12.75">
      <c r="A69" s="521"/>
      <c r="B69" s="554" t="s">
        <v>547</v>
      </c>
      <c r="C69" s="555">
        <f>IF(C18="","",(C68)/(C25/1000))</f>
      </c>
      <c r="D69" s="556" t="s">
        <v>548</v>
      </c>
      <c r="E69" s="223"/>
      <c r="F69" s="527"/>
      <c r="G69" s="527"/>
      <c r="H69" s="527"/>
      <c r="I69" s="527"/>
    </row>
    <row r="70" spans="1:5" ht="12.75">
      <c r="A70" s="521"/>
      <c r="B70" s="521"/>
      <c r="C70" s="521"/>
      <c r="D70" s="521"/>
      <c r="E70" s="521"/>
    </row>
    <row r="71" spans="1:9" ht="12.75">
      <c r="A71" s="522" t="s">
        <v>549</v>
      </c>
      <c r="B71" s="522"/>
      <c r="C71" s="522"/>
      <c r="D71" s="522"/>
      <c r="E71" s="522"/>
      <c r="F71" s="522"/>
      <c r="G71" s="522"/>
      <c r="H71" s="522"/>
      <c r="I71" s="522"/>
    </row>
    <row r="72" spans="1:9" ht="12.75">
      <c r="A72" s="557"/>
      <c r="B72" s="558" t="s">
        <v>550</v>
      </c>
      <c r="C72" s="559"/>
      <c r="D72" s="223" t="s">
        <v>551</v>
      </c>
      <c r="E72" s="223"/>
      <c r="F72" s="527"/>
      <c r="G72" s="527"/>
      <c r="H72" s="527"/>
      <c r="I72" s="527"/>
    </row>
    <row r="73" spans="1:9" ht="12.75">
      <c r="A73" s="557"/>
      <c r="B73" s="558" t="s">
        <v>552</v>
      </c>
      <c r="C73" s="559"/>
      <c r="D73" s="223" t="s">
        <v>553</v>
      </c>
      <c r="E73" s="223"/>
      <c r="F73" s="527"/>
      <c r="G73" s="527"/>
      <c r="H73" s="527"/>
      <c r="I73" s="527"/>
    </row>
    <row r="74" spans="1:9" ht="12.75">
      <c r="A74" s="557"/>
      <c r="B74" s="558" t="s">
        <v>554</v>
      </c>
      <c r="C74" s="559"/>
      <c r="D74" s="223" t="s">
        <v>483</v>
      </c>
      <c r="E74" s="223" t="s">
        <v>555</v>
      </c>
      <c r="F74" s="527"/>
      <c r="G74" s="527"/>
      <c r="H74" s="527"/>
      <c r="I74" s="527"/>
    </row>
    <row r="75" spans="1:9" ht="12.75">
      <c r="A75" s="557"/>
      <c r="B75" s="558" t="s">
        <v>556</v>
      </c>
      <c r="C75" s="559"/>
      <c r="D75" s="223" t="s">
        <v>557</v>
      </c>
      <c r="E75" s="223"/>
      <c r="F75" s="527"/>
      <c r="G75" s="527"/>
      <c r="H75" s="527"/>
      <c r="I75" s="527"/>
    </row>
    <row r="76" spans="1:10" ht="15.75">
      <c r="A76" s="521"/>
      <c r="B76" s="558" t="s">
        <v>558</v>
      </c>
      <c r="C76" s="559"/>
      <c r="D76" s="223" t="s">
        <v>483</v>
      </c>
      <c r="E76" s="223" t="s">
        <v>559</v>
      </c>
      <c r="F76" s="527"/>
      <c r="G76" s="527"/>
      <c r="H76" s="527"/>
      <c r="I76" s="527"/>
      <c r="J76" s="560"/>
    </row>
    <row r="77" spans="1:10" ht="15">
      <c r="A77" s="521"/>
      <c r="B77" s="558" t="s">
        <v>560</v>
      </c>
      <c r="C77" s="559"/>
      <c r="D77" s="223" t="s">
        <v>557</v>
      </c>
      <c r="E77" s="223" t="s">
        <v>561</v>
      </c>
      <c r="F77" s="527"/>
      <c r="G77" s="527"/>
      <c r="H77" s="527"/>
      <c r="I77" s="527"/>
      <c r="J77" s="561"/>
    </row>
    <row r="78" spans="1:10" ht="15">
      <c r="A78" s="521"/>
      <c r="B78" s="562" t="s">
        <v>562</v>
      </c>
      <c r="C78" s="559"/>
      <c r="D78" s="223" t="s">
        <v>557</v>
      </c>
      <c r="E78" s="563" t="s">
        <v>561</v>
      </c>
      <c r="F78" s="527"/>
      <c r="G78" s="527"/>
      <c r="H78" s="527"/>
      <c r="I78" s="527"/>
      <c r="J78" s="561"/>
    </row>
    <row r="79" spans="1:10" ht="15">
      <c r="A79" s="521"/>
      <c r="B79" s="562" t="s">
        <v>563</v>
      </c>
      <c r="C79" s="559"/>
      <c r="D79" s="223" t="s">
        <v>557</v>
      </c>
      <c r="E79" s="563" t="s">
        <v>561</v>
      </c>
      <c r="F79" s="527"/>
      <c r="G79" s="527"/>
      <c r="H79" s="527"/>
      <c r="I79" s="527"/>
      <c r="J79" s="561"/>
    </row>
    <row r="80" spans="1:10" ht="15">
      <c r="A80" s="521"/>
      <c r="B80" s="562" t="s">
        <v>564</v>
      </c>
      <c r="C80" s="559"/>
      <c r="D80" s="223" t="s">
        <v>557</v>
      </c>
      <c r="E80" s="563" t="s">
        <v>561</v>
      </c>
      <c r="F80" s="527"/>
      <c r="G80" s="527"/>
      <c r="H80" s="527"/>
      <c r="I80" s="527"/>
      <c r="J80" s="564"/>
    </row>
    <row r="81" spans="1:10" ht="15">
      <c r="A81" s="521"/>
      <c r="B81" s="558" t="s">
        <v>565</v>
      </c>
      <c r="C81" s="559"/>
      <c r="D81" s="223" t="s">
        <v>557</v>
      </c>
      <c r="E81" s="563" t="s">
        <v>561</v>
      </c>
      <c r="F81" s="527"/>
      <c r="G81" s="527"/>
      <c r="H81" s="527"/>
      <c r="I81" s="527"/>
      <c r="J81" s="564"/>
    </row>
    <row r="82" spans="1:10" ht="15">
      <c r="A82" s="521"/>
      <c r="B82" s="558"/>
      <c r="C82" s="565"/>
      <c r="D82" s="223"/>
      <c r="E82" s="223"/>
      <c r="F82" s="527"/>
      <c r="G82" s="527"/>
      <c r="H82" s="527"/>
      <c r="I82" s="527"/>
      <c r="J82" s="561"/>
    </row>
    <row r="83" spans="1:10" ht="15">
      <c r="A83" s="521"/>
      <c r="B83" s="558" t="s">
        <v>566</v>
      </c>
      <c r="C83" s="559"/>
      <c r="D83" s="223"/>
      <c r="E83" s="223"/>
      <c r="F83" s="527"/>
      <c r="G83" s="527"/>
      <c r="H83" s="527"/>
      <c r="I83" s="527"/>
      <c r="J83" s="561"/>
    </row>
    <row r="84" spans="2:10" ht="15">
      <c r="B84" s="558" t="s">
        <v>567</v>
      </c>
      <c r="C84" s="559"/>
      <c r="D84" s="223"/>
      <c r="E84" s="223"/>
      <c r="F84" s="527"/>
      <c r="G84" s="527"/>
      <c r="H84" s="527"/>
      <c r="I84" s="527"/>
      <c r="J84" s="561"/>
    </row>
    <row r="85" spans="2:10" ht="15">
      <c r="B85" s="558"/>
      <c r="C85" s="559"/>
      <c r="D85" s="223"/>
      <c r="E85" s="223"/>
      <c r="F85" s="527"/>
      <c r="G85" s="527"/>
      <c r="H85" s="527"/>
      <c r="I85" s="527"/>
      <c r="J85" s="561"/>
    </row>
  </sheetData>
  <sheetProtection password="C96C" sheet="1" objects="1" scenarios="1"/>
  <mergeCells count="2">
    <mergeCell ref="E4:F4"/>
    <mergeCell ref="E5:F5"/>
  </mergeCells>
  <dataValidations count="6">
    <dataValidation type="list" operator="equal" allowBlank="1" sqref="C16">
      <formula1>"Foin,Foin + déshydratés,Ensilage herbe,Ensilage maïs,Enrubannage,Vert + Foin,Vert + Foin + Déshy,Vert + Ensilage,Pâturage + stocks,Petit pastoral,Grand pastoral,Alpage + Foin acheté,Alpage + Foin produit,"</formula1>
    </dataValidation>
    <dataValidation type="list" operator="equal" allowBlank="1" sqref="C15">
      <formula1>"Spécialisé caprin,Avec autres herbivores,Avec Grandes Cultures,Avec Cultures Spéciales"</formula1>
    </dataValidation>
    <dataValidation type="whole" operator="equal" allowBlank="1" showErrorMessage="1" error="le calcul se fait tout seul..." sqref="C11">
      <formula1>0</formula1>
    </dataValidation>
    <dataValidation type="whole" operator="equal" allowBlank="1" showErrorMessage="1" error="Le calcul se fait tout seul..." sqref="C19">
      <formula1>0</formula1>
    </dataValidation>
    <dataValidation type="whole" operator="equal" allowBlank="1" showErrorMessage="1" error="Le calcul  se fait tout seul...&#10;" sqref="C25 C27 C37:C38 C41:C44 C51 C53 O84">
      <formula1>0</formula1>
    </dataValidation>
    <dataValidation type="list" operator="equal" allowBlank="1" showErrorMessage="1" sqref="C56">
      <formula1>"Oui,Non,"</formula1>
    </dataValidation>
  </dataValidations>
  <printOptions/>
  <pageMargins left="0.7" right="0.7" top="0.75" bottom="0.75" header="0.5118055555555555" footer="0.5118055555555555"/>
  <pageSetup fitToHeight="1" fitToWidth="1" horizontalDpi="300" verticalDpi="300" orientation="portrait" paperSize="9"/>
  <drawing r:id="rId1"/>
</worksheet>
</file>

<file path=xl/worksheets/sheet6.xml><?xml version="1.0" encoding="utf-8"?>
<worksheet xmlns="http://schemas.openxmlformats.org/spreadsheetml/2006/main" xmlns:r="http://schemas.openxmlformats.org/officeDocument/2006/relationships">
  <sheetPr>
    <pageSetUpPr fitToPage="1"/>
  </sheetPr>
  <dimension ref="A1:M52"/>
  <sheetViews>
    <sheetView zoomScalePageLayoutView="0" workbookViewId="0" topLeftCell="A1">
      <selection activeCell="C24" sqref="C24"/>
    </sheetView>
  </sheetViews>
  <sheetFormatPr defaultColWidth="11.421875" defaultRowHeight="12.75"/>
  <cols>
    <col min="1" max="1" width="4.8515625" style="0" customWidth="1"/>
    <col min="2" max="2" width="46.00390625" style="0" customWidth="1"/>
  </cols>
  <sheetData>
    <row r="1" spans="2:13" s="268" customFormat="1" ht="15" customHeight="1">
      <c r="B1" s="502"/>
      <c r="C1" s="344"/>
      <c r="D1" s="344"/>
      <c r="M1" s="503"/>
    </row>
    <row r="2" spans="2:13" s="268" customFormat="1" ht="18" customHeight="1">
      <c r="B2" s="504"/>
      <c r="C2" s="344"/>
      <c r="D2" s="317"/>
      <c r="M2" s="503"/>
    </row>
    <row r="3" spans="2:13" s="268" customFormat="1" ht="12" customHeight="1">
      <c r="B3" s="502"/>
      <c r="C3" s="344"/>
      <c r="D3" s="344"/>
      <c r="M3" s="503"/>
    </row>
    <row r="4" spans="5:6" ht="14.25" customHeight="1">
      <c r="E4" s="1379" t="s">
        <v>68</v>
      </c>
      <c r="F4" s="1379"/>
    </row>
    <row r="5" spans="2:6" ht="12.75">
      <c r="B5" s="505" t="s">
        <v>461</v>
      </c>
      <c r="E5" s="1380">
        <f>DATEVER</f>
        <v>43515</v>
      </c>
      <c r="F5" s="1380"/>
    </row>
    <row r="6" ht="12.75">
      <c r="B6" s="506" t="s">
        <v>462</v>
      </c>
    </row>
    <row r="8" spans="1:9" ht="12.75">
      <c r="A8" s="507" t="s">
        <v>463</v>
      </c>
      <c r="B8" s="508"/>
      <c r="C8" s="509"/>
      <c r="D8" s="510"/>
      <c r="E8" s="510"/>
      <c r="F8" s="510"/>
      <c r="G8" s="510"/>
      <c r="H8" s="510"/>
      <c r="I8" s="510"/>
    </row>
    <row r="9" spans="1:9" ht="12.75">
      <c r="A9" s="511"/>
      <c r="B9" s="511" t="s">
        <v>94</v>
      </c>
      <c r="C9" s="512"/>
      <c r="D9" s="513" t="s">
        <v>96</v>
      </c>
      <c r="E9" s="514" t="s">
        <v>31</v>
      </c>
      <c r="F9" s="514"/>
      <c r="G9" s="514"/>
      <c r="H9" s="514"/>
      <c r="I9" s="514"/>
    </row>
    <row r="10" spans="1:5" s="518" customFormat="1" ht="12.75">
      <c r="A10" s="515"/>
      <c r="B10" s="515"/>
      <c r="C10" s="516"/>
      <c r="D10" s="517"/>
      <c r="E10" s="515"/>
    </row>
    <row r="11" spans="1:5" s="518" customFormat="1" ht="14.25">
      <c r="A11" s="515"/>
      <c r="B11" s="519" t="str">
        <f>CONCATENATE("Campagne : ",CAMP)</f>
        <v>Campagne : 2019</v>
      </c>
      <c r="C11" s="566">
        <f>CAMP</f>
        <v>2019</v>
      </c>
      <c r="D11" s="517"/>
      <c r="E11" s="515"/>
    </row>
    <row r="12" spans="1:5" ht="12.75">
      <c r="A12" s="521"/>
      <c r="B12" s="521"/>
      <c r="C12" s="521"/>
      <c r="D12" s="521"/>
      <c r="E12" s="521"/>
    </row>
    <row r="13" spans="1:9" ht="12.75">
      <c r="A13" s="522" t="s">
        <v>464</v>
      </c>
      <c r="B13" s="522"/>
      <c r="C13" s="522"/>
      <c r="D13" s="522"/>
      <c r="E13" s="522"/>
      <c r="F13" s="522"/>
      <c r="G13" s="522"/>
      <c r="H13" s="522"/>
      <c r="I13" s="522"/>
    </row>
    <row r="14" spans="1:5" ht="12.75">
      <c r="A14" s="518"/>
      <c r="B14" s="518"/>
      <c r="C14" s="518"/>
      <c r="D14" s="518"/>
      <c r="E14" s="518"/>
    </row>
    <row r="15" spans="1:5" ht="12.75">
      <c r="A15" s="518"/>
      <c r="B15" s="518"/>
      <c r="C15" s="518"/>
      <c r="D15" s="518"/>
      <c r="E15" s="518"/>
    </row>
    <row r="16" spans="1:9" ht="12.75">
      <c r="A16" s="521"/>
      <c r="B16" s="524" t="s">
        <v>568</v>
      </c>
      <c r="C16" s="567">
        <f>LCB*1000</f>
        <v>0</v>
      </c>
      <c r="D16" s="533" t="s">
        <v>476</v>
      </c>
      <c r="E16" s="223" t="s">
        <v>477</v>
      </c>
      <c r="F16" s="527"/>
      <c r="G16" s="527"/>
      <c r="H16" s="527"/>
      <c r="I16" s="527"/>
    </row>
    <row r="17" spans="1:9" ht="12.75">
      <c r="A17" s="521"/>
      <c r="B17" s="534" t="s">
        <v>569</v>
      </c>
      <c r="C17" s="568"/>
      <c r="D17" s="533" t="s">
        <v>476</v>
      </c>
      <c r="E17" s="223"/>
      <c r="F17" s="527"/>
      <c r="G17" s="527"/>
      <c r="H17" s="527"/>
      <c r="I17" s="527"/>
    </row>
    <row r="18" spans="1:9" ht="12.75">
      <c r="A18" s="521"/>
      <c r="B18" s="534" t="s">
        <v>570</v>
      </c>
      <c r="C18" s="568"/>
      <c r="D18" s="533" t="s">
        <v>476</v>
      </c>
      <c r="E18" s="223"/>
      <c r="F18" s="527"/>
      <c r="G18" s="527"/>
      <c r="H18" s="527"/>
      <c r="I18" s="527"/>
    </row>
    <row r="19" spans="1:9" ht="12.75">
      <c r="A19" s="521"/>
      <c r="B19" s="534" t="s">
        <v>571</v>
      </c>
      <c r="C19" s="568"/>
      <c r="D19" s="533" t="s">
        <v>476</v>
      </c>
      <c r="E19" s="223"/>
      <c r="F19" s="527"/>
      <c r="G19" s="527"/>
      <c r="H19" s="527"/>
      <c r="I19" s="527"/>
    </row>
    <row r="20" spans="1:9" ht="12.75">
      <c r="A20" s="521"/>
      <c r="B20" s="534" t="s">
        <v>572</v>
      </c>
      <c r="C20" s="568"/>
      <c r="D20" s="533" t="s">
        <v>476</v>
      </c>
      <c r="E20" s="223"/>
      <c r="F20" s="527"/>
      <c r="G20" s="527"/>
      <c r="H20" s="527"/>
      <c r="I20" s="527"/>
    </row>
    <row r="21" spans="1:9" ht="12.75">
      <c r="A21" s="521"/>
      <c r="B21" s="534" t="s">
        <v>573</v>
      </c>
      <c r="C21" s="568"/>
      <c r="D21" s="533" t="s">
        <v>476</v>
      </c>
      <c r="E21" s="223"/>
      <c r="F21" s="527"/>
      <c r="G21" s="527"/>
      <c r="H21" s="527"/>
      <c r="I21" s="527"/>
    </row>
    <row r="22" spans="1:5" ht="12.75">
      <c r="A22" s="521"/>
      <c r="B22" s="535"/>
      <c r="C22" s="535"/>
      <c r="D22" s="536"/>
      <c r="E22" s="536"/>
    </row>
    <row r="23" spans="1:9" ht="12.75">
      <c r="A23" s="522" t="s">
        <v>574</v>
      </c>
      <c r="B23" s="522"/>
      <c r="C23" s="522"/>
      <c r="D23" s="522"/>
      <c r="E23" s="522"/>
      <c r="F23" s="522"/>
      <c r="G23" s="522"/>
      <c r="H23" s="522"/>
      <c r="I23" s="522"/>
    </row>
    <row r="24" spans="1:11" ht="14.25">
      <c r="A24" s="521"/>
      <c r="B24" s="524" t="s">
        <v>575</v>
      </c>
      <c r="C24" s="567">
        <f>'Saisie '!C84</f>
        <v>0</v>
      </c>
      <c r="D24" s="223"/>
      <c r="E24" s="223"/>
      <c r="F24" s="527"/>
      <c r="G24" s="527"/>
      <c r="H24" s="527"/>
      <c r="I24" s="527"/>
      <c r="K24" s="539"/>
    </row>
    <row r="25" spans="1:11" ht="14.25">
      <c r="A25" s="521"/>
      <c r="B25" s="524" t="s">
        <v>576</v>
      </c>
      <c r="C25" s="567">
        <f>'Saisie '!C85</f>
        <v>0</v>
      </c>
      <c r="D25" s="223"/>
      <c r="E25" s="223"/>
      <c r="F25" s="527"/>
      <c r="G25" s="527"/>
      <c r="H25" s="527"/>
      <c r="I25" s="527"/>
      <c r="K25" s="539"/>
    </row>
    <row r="26" spans="1:11" ht="14.25">
      <c r="A26" s="521"/>
      <c r="B26" s="569" t="s">
        <v>577</v>
      </c>
      <c r="C26" s="570"/>
      <c r="D26" s="223"/>
      <c r="E26" s="223"/>
      <c r="F26" s="527"/>
      <c r="G26" s="527"/>
      <c r="H26" s="527"/>
      <c r="I26" s="527"/>
      <c r="K26" s="539"/>
    </row>
    <row r="27" spans="1:11" ht="14.25">
      <c r="A27" s="521"/>
      <c r="B27" s="569" t="s">
        <v>578</v>
      </c>
      <c r="C27" s="570"/>
      <c r="D27" s="223" t="s">
        <v>159</v>
      </c>
      <c r="E27" s="223"/>
      <c r="F27" s="527"/>
      <c r="G27" s="527"/>
      <c r="H27" s="527"/>
      <c r="I27" s="527"/>
      <c r="K27" s="539"/>
    </row>
    <row r="28" spans="1:11" ht="14.25">
      <c r="A28" s="521"/>
      <c r="B28" s="569" t="s">
        <v>579</v>
      </c>
      <c r="C28" s="570"/>
      <c r="D28" s="223" t="s">
        <v>159</v>
      </c>
      <c r="E28" s="223"/>
      <c r="F28" s="527"/>
      <c r="G28" s="527"/>
      <c r="H28" s="527"/>
      <c r="I28" s="527"/>
      <c r="K28" s="539"/>
    </row>
    <row r="29" spans="1:11" ht="14.25">
      <c r="A29" s="521"/>
      <c r="B29" s="569" t="s">
        <v>580</v>
      </c>
      <c r="C29" s="570"/>
      <c r="D29" s="223" t="s">
        <v>159</v>
      </c>
      <c r="E29" s="223"/>
      <c r="F29" s="527"/>
      <c r="G29" s="527"/>
      <c r="H29" s="527"/>
      <c r="I29" s="527"/>
      <c r="K29" s="539"/>
    </row>
    <row r="30" spans="1:11" ht="14.25">
      <c r="A30" s="521"/>
      <c r="B30" s="569" t="s">
        <v>581</v>
      </c>
      <c r="C30" s="570"/>
      <c r="D30" s="223" t="s">
        <v>159</v>
      </c>
      <c r="E30" s="223"/>
      <c r="F30" s="527"/>
      <c r="G30" s="527"/>
      <c r="H30" s="527"/>
      <c r="I30" s="527"/>
      <c r="K30" s="539"/>
    </row>
    <row r="31" spans="1:11" ht="14.25">
      <c r="A31" s="521"/>
      <c r="B31" s="569" t="s">
        <v>582</v>
      </c>
      <c r="C31" s="570"/>
      <c r="D31" s="223" t="s">
        <v>159</v>
      </c>
      <c r="E31" s="223"/>
      <c r="F31" s="527"/>
      <c r="G31" s="527"/>
      <c r="H31" s="527"/>
      <c r="I31" s="527"/>
      <c r="K31" s="539"/>
    </row>
    <row r="32" spans="1:11" ht="14.25">
      <c r="A32" s="521"/>
      <c r="B32" s="571" t="s">
        <v>583</v>
      </c>
      <c r="C32" s="570"/>
      <c r="D32" s="223" t="s">
        <v>159</v>
      </c>
      <c r="E32" s="223"/>
      <c r="F32" s="527"/>
      <c r="G32" s="527"/>
      <c r="H32" s="527"/>
      <c r="I32" s="527"/>
      <c r="K32" s="539"/>
    </row>
    <row r="33" spans="1:11" ht="14.25">
      <c r="A33" s="521"/>
      <c r="B33" s="571" t="s">
        <v>584</v>
      </c>
      <c r="C33" s="570"/>
      <c r="D33" s="223" t="s">
        <v>159</v>
      </c>
      <c r="E33" s="223"/>
      <c r="F33" s="527"/>
      <c r="G33" s="527"/>
      <c r="H33" s="527"/>
      <c r="I33" s="527"/>
      <c r="K33" s="539"/>
    </row>
    <row r="34" spans="1:11" ht="14.25">
      <c r="A34" s="521"/>
      <c r="B34" s="571" t="s">
        <v>585</v>
      </c>
      <c r="C34" s="570"/>
      <c r="D34" s="223" t="s">
        <v>159</v>
      </c>
      <c r="E34" s="223"/>
      <c r="F34" s="527"/>
      <c r="G34" s="527"/>
      <c r="H34" s="527"/>
      <c r="I34" s="527"/>
      <c r="K34" s="539"/>
    </row>
    <row r="35" spans="1:11" ht="14.25">
      <c r="A35" s="521"/>
      <c r="B35" s="571"/>
      <c r="C35" s="570"/>
      <c r="D35" s="223"/>
      <c r="E35" s="223"/>
      <c r="F35" s="527"/>
      <c r="G35" s="527"/>
      <c r="H35" s="527"/>
      <c r="I35" s="527"/>
      <c r="K35" s="539"/>
    </row>
    <row r="36" spans="1:9" ht="12.75">
      <c r="A36" s="521"/>
      <c r="B36" s="554" t="s">
        <v>586</v>
      </c>
      <c r="C36" s="572"/>
      <c r="D36" s="223" t="s">
        <v>159</v>
      </c>
      <c r="E36" s="223"/>
      <c r="F36" s="527"/>
      <c r="G36" s="527"/>
      <c r="H36" s="527"/>
      <c r="I36" s="527"/>
    </row>
    <row r="37" spans="1:5" ht="12.75">
      <c r="A37" s="521"/>
      <c r="B37" s="521"/>
      <c r="C37" s="521"/>
      <c r="D37" s="521"/>
      <c r="E37" s="521"/>
    </row>
    <row r="38" spans="1:9" ht="12.75">
      <c r="A38" s="522" t="s">
        <v>587</v>
      </c>
      <c r="B38" s="522"/>
      <c r="C38" s="522"/>
      <c r="D38" s="522"/>
      <c r="E38" s="522"/>
      <c r="F38" s="522"/>
      <c r="G38" s="522"/>
      <c r="H38" s="522"/>
      <c r="I38" s="522"/>
    </row>
    <row r="39" spans="1:9" ht="12.75">
      <c r="A39" s="557"/>
      <c r="B39" s="558" t="s">
        <v>575</v>
      </c>
      <c r="C39" s="567">
        <f>'Saisie '!C86</f>
        <v>0</v>
      </c>
      <c r="D39" s="223" t="s">
        <v>159</v>
      </c>
      <c r="E39" s="223"/>
      <c r="F39" s="527"/>
      <c r="G39" s="527"/>
      <c r="H39" s="527"/>
      <c r="I39" s="527"/>
    </row>
    <row r="40" spans="1:9" ht="12.75">
      <c r="A40" s="557"/>
      <c r="B40" s="558" t="s">
        <v>588</v>
      </c>
      <c r="C40" s="567">
        <f>'Saisie '!C87</f>
        <v>0</v>
      </c>
      <c r="D40" s="223" t="s">
        <v>159</v>
      </c>
      <c r="E40" s="223"/>
      <c r="F40" s="527"/>
      <c r="G40" s="527"/>
      <c r="H40" s="527"/>
      <c r="I40" s="527"/>
    </row>
    <row r="41" spans="1:9" ht="12.75">
      <c r="A41" s="557"/>
      <c r="B41" s="573" t="s">
        <v>589</v>
      </c>
      <c r="C41" s="574"/>
      <c r="D41" s="223" t="s">
        <v>159</v>
      </c>
      <c r="E41" s="223"/>
      <c r="F41" s="527"/>
      <c r="G41" s="527"/>
      <c r="H41" s="527"/>
      <c r="I41" s="527"/>
    </row>
    <row r="42" spans="1:9" ht="12.75">
      <c r="A42" s="557"/>
      <c r="B42" s="573" t="s">
        <v>590</v>
      </c>
      <c r="C42" s="574"/>
      <c r="D42" s="223" t="s">
        <v>159</v>
      </c>
      <c r="E42" s="223"/>
      <c r="F42" s="527"/>
      <c r="G42" s="527"/>
      <c r="H42" s="527"/>
      <c r="I42" s="527"/>
    </row>
    <row r="43" spans="1:10" ht="15.75">
      <c r="A43" s="521"/>
      <c r="B43" s="573" t="s">
        <v>591</v>
      </c>
      <c r="C43" s="574"/>
      <c r="D43" s="223" t="s">
        <v>159</v>
      </c>
      <c r="E43" s="223"/>
      <c r="F43" s="527"/>
      <c r="G43" s="527"/>
      <c r="H43" s="527"/>
      <c r="I43" s="527"/>
      <c r="J43" s="560"/>
    </row>
    <row r="44" spans="1:10" ht="15">
      <c r="A44" s="521"/>
      <c r="B44" s="573" t="s">
        <v>592</v>
      </c>
      <c r="C44" s="574"/>
      <c r="D44" s="223" t="s">
        <v>159</v>
      </c>
      <c r="E44" s="223"/>
      <c r="F44" s="527"/>
      <c r="G44" s="527"/>
      <c r="H44" s="527"/>
      <c r="I44" s="527"/>
      <c r="J44" s="561"/>
    </row>
    <row r="45" spans="1:10" ht="15">
      <c r="A45" s="521"/>
      <c r="B45" s="562" t="s">
        <v>593</v>
      </c>
      <c r="C45" s="574"/>
      <c r="D45" s="223" t="s">
        <v>159</v>
      </c>
      <c r="E45" s="563"/>
      <c r="F45" s="527"/>
      <c r="G45" s="527"/>
      <c r="H45" s="527"/>
      <c r="I45" s="527"/>
      <c r="J45" s="561"/>
    </row>
    <row r="46" spans="1:10" ht="15">
      <c r="A46" s="521"/>
      <c r="B46" s="562" t="s">
        <v>594</v>
      </c>
      <c r="C46" s="574"/>
      <c r="D46" s="223" t="s">
        <v>159</v>
      </c>
      <c r="E46" s="563"/>
      <c r="F46" s="527"/>
      <c r="G46" s="527"/>
      <c r="H46" s="527"/>
      <c r="I46" s="527"/>
      <c r="J46" s="561"/>
    </row>
    <row r="47" spans="1:10" ht="15">
      <c r="A47" s="521"/>
      <c r="B47" s="562"/>
      <c r="C47" s="574"/>
      <c r="D47" s="223"/>
      <c r="E47" s="563"/>
      <c r="F47" s="527"/>
      <c r="G47" s="527"/>
      <c r="H47" s="527"/>
      <c r="I47" s="527"/>
      <c r="J47" s="564"/>
    </row>
    <row r="48" spans="1:10" ht="15">
      <c r="A48" s="521"/>
      <c r="B48" s="558"/>
      <c r="C48" s="574"/>
      <c r="D48" s="223"/>
      <c r="E48" s="563"/>
      <c r="F48" s="527"/>
      <c r="G48" s="527"/>
      <c r="H48" s="527"/>
      <c r="I48" s="527"/>
      <c r="J48" s="564"/>
    </row>
    <row r="49" spans="1:10" ht="15">
      <c r="A49" s="521"/>
      <c r="B49" s="558"/>
      <c r="C49" s="574"/>
      <c r="D49" s="223"/>
      <c r="E49" s="223"/>
      <c r="F49" s="527"/>
      <c r="G49" s="527"/>
      <c r="H49" s="527"/>
      <c r="I49" s="527"/>
      <c r="J49" s="561"/>
    </row>
    <row r="50" spans="1:10" ht="15">
      <c r="A50" s="521"/>
      <c r="B50" s="558"/>
      <c r="C50" s="574"/>
      <c r="D50" s="223"/>
      <c r="E50" s="223"/>
      <c r="F50" s="527"/>
      <c r="G50" s="527"/>
      <c r="H50" s="527"/>
      <c r="I50" s="527"/>
      <c r="J50" s="561"/>
    </row>
    <row r="51" spans="1:10" ht="15">
      <c r="A51" s="522" t="s">
        <v>595</v>
      </c>
      <c r="B51" s="522"/>
      <c r="C51" s="522"/>
      <c r="D51" s="522"/>
      <c r="E51" s="522"/>
      <c r="F51" s="522"/>
      <c r="G51" s="522"/>
      <c r="H51" s="522"/>
      <c r="I51" s="522"/>
      <c r="J51" s="561"/>
    </row>
    <row r="52" spans="2:10" ht="15">
      <c r="B52" s="558" t="s">
        <v>596</v>
      </c>
      <c r="C52" s="574"/>
      <c r="D52" t="s">
        <v>597</v>
      </c>
      <c r="E52" s="223" t="s">
        <v>598</v>
      </c>
      <c r="F52" s="223"/>
      <c r="G52" s="527"/>
      <c r="H52" s="527"/>
      <c r="I52" s="527"/>
      <c r="J52" s="561"/>
    </row>
  </sheetData>
  <sheetProtection selectLockedCells="1" selectUnlockedCells="1"/>
  <mergeCells count="2">
    <mergeCell ref="E4:F4"/>
    <mergeCell ref="E5:F5"/>
  </mergeCells>
  <dataValidations count="2">
    <dataValidation type="whole" operator="equal" allowBlank="1" showErrorMessage="1" error="le calcul se fait tout seul..." sqref="C11">
      <formula1>0</formula1>
    </dataValidation>
    <dataValidation type="whole" operator="equal" allowBlank="1" showErrorMessage="1" error="Le calcul  se fait tout seul...&#10;" sqref="C16 C24:C25 C39:C40 O51">
      <formula1>0</formula1>
    </dataValidation>
  </dataValidations>
  <printOptions/>
  <pageMargins left="0.7" right="0.7" top="0.75" bottom="0.75" header="0.5118055555555555" footer="0.5118055555555555"/>
  <pageSetup fitToHeight="1" fitToWidth="1" horizontalDpi="300" verticalDpi="300" orientation="portrait" paperSize="9"/>
  <drawing r:id="rId1"/>
</worksheet>
</file>

<file path=xl/worksheets/sheet7.xml><?xml version="1.0" encoding="utf-8"?>
<worksheet xmlns="http://schemas.openxmlformats.org/spreadsheetml/2006/main" xmlns:r="http://schemas.openxmlformats.org/officeDocument/2006/relationships">
  <sheetPr>
    <pageSetUpPr fitToPage="1"/>
  </sheetPr>
  <dimension ref="A2:N64"/>
  <sheetViews>
    <sheetView zoomScalePageLayoutView="0" workbookViewId="0" topLeftCell="A1">
      <selection activeCell="C6" sqref="C6"/>
    </sheetView>
  </sheetViews>
  <sheetFormatPr defaultColWidth="11.421875" defaultRowHeight="15" customHeight="1"/>
  <cols>
    <col min="1" max="1" width="34.57421875" style="502" customWidth="1"/>
    <col min="2" max="2" width="10.00390625" style="344" customWidth="1"/>
    <col min="3" max="3" width="10.57421875" style="344" customWidth="1"/>
    <col min="4" max="4" width="3.140625" style="268" customWidth="1"/>
    <col min="5" max="5" width="21.421875" style="268" customWidth="1"/>
    <col min="6" max="6" width="2.8515625" style="268" customWidth="1"/>
    <col min="7" max="7" width="1.1484375" style="268" customWidth="1"/>
    <col min="8" max="8" width="10.140625" style="268" customWidth="1"/>
    <col min="9" max="9" width="12.00390625" style="268" customWidth="1"/>
    <col min="10" max="10" width="7.140625" style="268" customWidth="1"/>
    <col min="11" max="11" width="11.421875" style="268" customWidth="1"/>
    <col min="12" max="12" width="6.28125" style="503" customWidth="1"/>
    <col min="13" max="13" width="6.00390625" style="268" customWidth="1"/>
    <col min="14" max="16384" width="11.421875" style="268" customWidth="1"/>
  </cols>
  <sheetData>
    <row r="2" spans="1:3" ht="18" customHeight="1">
      <c r="A2" s="504"/>
      <c r="C2" s="317"/>
    </row>
    <row r="3" ht="12" customHeight="1"/>
    <row r="4" spans="2:14" ht="23.25" customHeight="1">
      <c r="B4" s="368"/>
      <c r="E4" s="575"/>
      <c r="F4" s="575"/>
      <c r="G4" s="575"/>
      <c r="I4" s="576" t="s">
        <v>599</v>
      </c>
      <c r="J4" s="577">
        <f>DATEVER</f>
        <v>43515</v>
      </c>
      <c r="N4" s="578"/>
    </row>
    <row r="5" spans="1:10" ht="16.5" customHeight="1">
      <c r="A5" s="579">
        <f>IF(EXP&lt;&gt;"",EXP,"")</f>
      </c>
      <c r="B5" s="580" t="s">
        <v>600</v>
      </c>
      <c r="C5" s="581" t="s">
        <v>601</v>
      </c>
      <c r="E5" s="582" t="s">
        <v>602</v>
      </c>
      <c r="F5" s="583"/>
      <c r="G5" s="583"/>
      <c r="H5" s="584"/>
      <c r="I5" s="584"/>
      <c r="J5" s="585"/>
    </row>
    <row r="6" spans="1:10" ht="66.75" customHeight="1">
      <c r="A6" s="519" t="str">
        <f>CONCATENATE("Campagne : ",CAMP)</f>
        <v>Campagne : 2019</v>
      </c>
      <c r="B6" s="586" t="s">
        <v>603</v>
      </c>
      <c r="C6" s="587" t="s">
        <v>1265</v>
      </c>
      <c r="E6" s="588" t="str">
        <f>IF(HLOOKUP($C$6,refdata,1,FALSE)&lt;&gt;"",HLOOKUP($C$6,refdata,1,FALSE),"")</f>
        <v>LIVREUR SPE EN ZP NORD RA
2017</v>
      </c>
      <c r="F6" s="589"/>
      <c r="G6" s="589"/>
      <c r="H6" s="590" t="str">
        <f>HLOOKUP($C$6,refdata,3,FALSE)</f>
        <v>Cas type</v>
      </c>
      <c r="I6" s="591" t="s">
        <v>605</v>
      </c>
      <c r="J6" s="592" t="str">
        <f>HLOOKUP($C$6,refdata,2,FALSE)</f>
        <v>2017</v>
      </c>
    </row>
    <row r="7" spans="1:3" ht="16.5" customHeight="1">
      <c r="A7" s="593" t="s">
        <v>606</v>
      </c>
      <c r="B7" s="401"/>
      <c r="C7" s="401"/>
    </row>
    <row r="8" spans="1:3" ht="3" customHeight="1" hidden="1">
      <c r="A8" s="593"/>
      <c r="B8" s="401"/>
      <c r="C8" s="401"/>
    </row>
    <row r="9" spans="1:12" s="48" customFormat="1" ht="15" customHeight="1">
      <c r="A9" s="594" t="s">
        <v>607</v>
      </c>
      <c r="B9" s="595" t="e">
        <f>B41+B38+B10</f>
        <v>#DIV/0!</v>
      </c>
      <c r="C9" s="595">
        <f>HLOOKUP($C$6,refdata,4,FALSE)</f>
        <v>928.4043250816505</v>
      </c>
      <c r="E9" s="596" t="s">
        <v>608</v>
      </c>
      <c r="F9" s="596"/>
      <c r="G9" s="596"/>
      <c r="H9" s="597" t="s">
        <v>600</v>
      </c>
      <c r="I9" s="1392" t="s">
        <v>601</v>
      </c>
      <c r="J9" s="1393" t="s">
        <v>609</v>
      </c>
      <c r="L9" s="598"/>
    </row>
    <row r="10" spans="1:12" s="601" customFormat="1" ht="15" customHeight="1">
      <c r="A10" s="599" t="s">
        <v>610</v>
      </c>
      <c r="B10" s="600" t="e">
        <f>B11+B14+B18+B21+B24+B29+B33</f>
        <v>#DIV/0!</v>
      </c>
      <c r="C10" s="600">
        <f>HLOOKUP($C$6,refdata,5,FALSE)</f>
        <v>498.2553616600202</v>
      </c>
      <c r="E10" s="602" t="s">
        <v>611</v>
      </c>
      <c r="F10" s="602"/>
      <c r="G10" s="602"/>
      <c r="H10" s="603" t="s">
        <v>603</v>
      </c>
      <c r="I10" s="1392"/>
      <c r="J10" s="1393"/>
      <c r="L10" s="598"/>
    </row>
    <row r="11" spans="1:12" s="601" customFormat="1" ht="12.75" customHeight="1">
      <c r="A11" s="604" t="s">
        <v>612</v>
      </c>
      <c r="B11" s="605" t="e">
        <f>B12+B13</f>
        <v>#DIV/0!</v>
      </c>
      <c r="C11" s="605">
        <f>HLOOKUP($C$6,refdata,6,FALSE)</f>
        <v>112.48298319327729</v>
      </c>
      <c r="E11" s="606"/>
      <c r="F11" s="606"/>
      <c r="G11" s="606"/>
      <c r="H11" s="607"/>
      <c r="I11" s="607"/>
      <c r="J11" s="608"/>
      <c r="L11" s="598"/>
    </row>
    <row r="12" spans="1:12" s="601" customFormat="1" ht="12.75" customHeight="1">
      <c r="A12" s="609" t="s">
        <v>613</v>
      </c>
      <c r="B12" s="610" t="e">
        <f>Calcul!C36/LCB</f>
        <v>#DIV/0!</v>
      </c>
      <c r="C12" s="611">
        <f>HLOOKUP($C$6,refdata,7,FALSE)</f>
        <v>112.48298319327729</v>
      </c>
      <c r="E12" s="612" t="s">
        <v>614</v>
      </c>
      <c r="F12" s="612"/>
      <c r="G12" s="612"/>
      <c r="H12" s="613" t="e">
        <f>SUM(H14:H22)</f>
        <v>#N/A</v>
      </c>
      <c r="I12" s="613">
        <f>SUM(I14:I22)</f>
        <v>928.4043250816505</v>
      </c>
      <c r="J12" s="614" t="e">
        <f>(H12-I12)/I12</f>
        <v>#N/A</v>
      </c>
      <c r="L12" s="598"/>
    </row>
    <row r="13" spans="1:12" s="601" customFormat="1" ht="12.75" customHeight="1">
      <c r="A13" s="609" t="s">
        <v>230</v>
      </c>
      <c r="B13" s="610" t="e">
        <f>Calcul!C37/LCB</f>
        <v>#DIV/0!</v>
      </c>
      <c r="C13" s="611">
        <f>HLOOKUP($C$6,refdata,8,FALSE)</f>
        <v>0</v>
      </c>
      <c r="E13" s="615"/>
      <c r="F13" s="615"/>
      <c r="G13" s="615"/>
      <c r="H13" s="616"/>
      <c r="I13" s="616"/>
      <c r="J13" s="617"/>
      <c r="L13" s="598"/>
    </row>
    <row r="14" spans="1:12" s="601" customFormat="1" ht="12.75" customHeight="1">
      <c r="A14" s="604" t="s">
        <v>615</v>
      </c>
      <c r="B14" s="605" t="e">
        <f>B15+B16+B17</f>
        <v>#DIV/0!</v>
      </c>
      <c r="C14" s="605">
        <f>HLOOKUP($C$6,refdata,9,FALSE)</f>
        <v>50.94371143709712</v>
      </c>
      <c r="E14" s="618" t="s">
        <v>616</v>
      </c>
      <c r="F14" s="619"/>
      <c r="G14" s="618"/>
      <c r="H14" s="620" t="e">
        <f>B44+B36</f>
        <v>#N/A</v>
      </c>
      <c r="I14" s="621">
        <f>C44+C36</f>
        <v>232.78108312321822</v>
      </c>
      <c r="J14" s="622" t="e">
        <f aca="true" t="shared" si="0" ref="J14:J22">IF(I14&lt;&gt;"",(H14-I14)/I14,"")</f>
        <v>#N/A</v>
      </c>
      <c r="L14" s="598"/>
    </row>
    <row r="15" spans="1:12" s="601" customFormat="1" ht="12.75" customHeight="1">
      <c r="A15" s="609" t="s">
        <v>235</v>
      </c>
      <c r="B15" s="610" t="e">
        <f>(Calcul!C39+Calcul!F39)/LCB</f>
        <v>#DIV/0!</v>
      </c>
      <c r="C15" s="611">
        <f>HLOOKUP($C$6,refdata,10,FALSE)</f>
        <v>25.12942575807331</v>
      </c>
      <c r="E15" s="618" t="s">
        <v>617</v>
      </c>
      <c r="F15" s="623"/>
      <c r="G15" s="618"/>
      <c r="H15" s="620" t="e">
        <f>B35+B37+B42+B43</f>
        <v>#DIV/0!</v>
      </c>
      <c r="I15" s="621">
        <f>C42+C43+C35+C37</f>
        <v>68.15640046345905</v>
      </c>
      <c r="J15" s="622" t="e">
        <f t="shared" si="0"/>
        <v>#DIV/0!</v>
      </c>
      <c r="L15" s="598"/>
    </row>
    <row r="16" spans="1:12" s="48" customFormat="1" ht="12.75" customHeight="1">
      <c r="A16" s="609" t="s">
        <v>242</v>
      </c>
      <c r="B16" s="610" t="e">
        <f>(Calcul!C40+Calcul!F40)/LCB</f>
        <v>#DIV/0!</v>
      </c>
      <c r="C16" s="611">
        <f>HLOOKUP($C$6,refdata,11,FALSE)</f>
        <v>11.460924348911318</v>
      </c>
      <c r="E16" s="618" t="s">
        <v>618</v>
      </c>
      <c r="F16" s="624"/>
      <c r="G16" s="618"/>
      <c r="H16" s="620" t="e">
        <f>B29+B40</f>
        <v>#N/A</v>
      </c>
      <c r="I16" s="621">
        <f>C29+C40</f>
        <v>151.1701937456133</v>
      </c>
      <c r="J16" s="622" t="e">
        <f t="shared" si="0"/>
        <v>#N/A</v>
      </c>
      <c r="L16" s="598"/>
    </row>
    <row r="17" spans="1:12" s="601" customFormat="1" ht="12.75" customHeight="1">
      <c r="A17" s="609" t="s">
        <v>247</v>
      </c>
      <c r="B17" s="610" t="e">
        <f>(Calcul!C41+Calcul!F41)/LCB</f>
        <v>#DIV/0!</v>
      </c>
      <c r="C17" s="611">
        <f>HLOOKUP($C$6,refdata,12,FALSE)</f>
        <v>14.35336133011249</v>
      </c>
      <c r="D17" s="48"/>
      <c r="E17" s="618" t="s">
        <v>619</v>
      </c>
      <c r="F17" s="625"/>
      <c r="G17" s="618"/>
      <c r="H17" s="620" t="e">
        <f>B24+B39</f>
        <v>#N/A</v>
      </c>
      <c r="I17" s="621">
        <f>C24+C39</f>
        <v>152.6392781345657</v>
      </c>
      <c r="J17" s="622" t="e">
        <f t="shared" si="0"/>
        <v>#N/A</v>
      </c>
      <c r="L17" s="598"/>
    </row>
    <row r="18" spans="1:13" s="48" customFormat="1" ht="12.75" customHeight="1">
      <c r="A18" s="604" t="s">
        <v>428</v>
      </c>
      <c r="B18" s="605" t="e">
        <f>B19+B20</f>
        <v>#DIV/0!</v>
      </c>
      <c r="C18" s="605">
        <f>HLOOKUP($C$6,refdata,13,FALSE)</f>
        <v>118.9075630252101</v>
      </c>
      <c r="E18" s="618" t="s">
        <v>292</v>
      </c>
      <c r="F18" s="626"/>
      <c r="G18" s="618"/>
      <c r="H18" s="620" t="e">
        <f>B34</f>
        <v>#N/A</v>
      </c>
      <c r="I18" s="621">
        <f>C34</f>
        <v>41.32311195920986</v>
      </c>
      <c r="J18" s="622" t="e">
        <f t="shared" si="0"/>
        <v>#N/A</v>
      </c>
      <c r="L18" s="598"/>
      <c r="M18" s="601"/>
    </row>
    <row r="19" spans="1:13" s="48" customFormat="1" ht="12.75" customHeight="1">
      <c r="A19" s="609" t="s">
        <v>252</v>
      </c>
      <c r="B19" s="610" t="e">
        <f>Calcul!C43/LCB</f>
        <v>#DIV/0!</v>
      </c>
      <c r="C19" s="611">
        <f>HLOOKUP($C$6,refdata,14,FALSE)</f>
        <v>12.184873949579831</v>
      </c>
      <c r="E19" s="618" t="s">
        <v>620</v>
      </c>
      <c r="F19" s="627"/>
      <c r="G19" s="618"/>
      <c r="H19" s="620" t="e">
        <f>B21</f>
        <v>#DIV/0!</v>
      </c>
      <c r="I19" s="621">
        <f>C21</f>
        <v>0</v>
      </c>
      <c r="J19" s="622" t="e">
        <f t="shared" si="0"/>
        <v>#DIV/0!</v>
      </c>
      <c r="L19" s="598"/>
      <c r="M19" s="601"/>
    </row>
    <row r="20" spans="1:13" s="48" customFormat="1" ht="12.75" customHeight="1">
      <c r="A20" s="609" t="s">
        <v>258</v>
      </c>
      <c r="B20" s="610" t="e">
        <f>Calcul!C44/LCB</f>
        <v>#DIV/0!</v>
      </c>
      <c r="C20" s="611">
        <f>HLOOKUP($C$6,refdata,15,FALSE)</f>
        <v>106.72268907563026</v>
      </c>
      <c r="E20" s="618" t="s">
        <v>428</v>
      </c>
      <c r="F20" s="628"/>
      <c r="G20" s="618"/>
      <c r="H20" s="620" t="e">
        <f>B18</f>
        <v>#DIV/0!</v>
      </c>
      <c r="I20" s="621">
        <f>C18</f>
        <v>118.9075630252101</v>
      </c>
      <c r="J20" s="622" t="e">
        <f t="shared" si="0"/>
        <v>#DIV/0!</v>
      </c>
      <c r="L20" s="598"/>
      <c r="M20" s="601"/>
    </row>
    <row r="21" spans="1:12" s="48" customFormat="1" ht="16.5" customHeight="1">
      <c r="A21" s="604" t="s">
        <v>621</v>
      </c>
      <c r="B21" s="605" t="e">
        <f>B22+B23</f>
        <v>#DIV/0!</v>
      </c>
      <c r="C21" s="629">
        <f>HLOOKUP($C$6,refdata,16,FALSE)</f>
        <v>0</v>
      </c>
      <c r="E21" s="618" t="s">
        <v>622</v>
      </c>
      <c r="F21" s="630"/>
      <c r="G21" s="618"/>
      <c r="H21" s="620" t="e">
        <f>B14</f>
        <v>#DIV/0!</v>
      </c>
      <c r="I21" s="621">
        <f>C14</f>
        <v>50.94371143709712</v>
      </c>
      <c r="J21" s="622" t="e">
        <f t="shared" si="0"/>
        <v>#DIV/0!</v>
      </c>
      <c r="L21" s="598"/>
    </row>
    <row r="22" spans="1:12" s="48" customFormat="1" ht="12.75" customHeight="1">
      <c r="A22" s="609" t="s">
        <v>623</v>
      </c>
      <c r="B22" s="610" t="e">
        <f>Calcul!C46/LCB</f>
        <v>#DIV/0!</v>
      </c>
      <c r="C22" s="611">
        <f>HLOOKUP($C$6,refdata,17,FALSE)</f>
        <v>0</v>
      </c>
      <c r="E22" s="618" t="s">
        <v>612</v>
      </c>
      <c r="F22" s="631"/>
      <c r="G22" s="618"/>
      <c r="H22" s="620" t="e">
        <f>B11</f>
        <v>#DIV/0!</v>
      </c>
      <c r="I22" s="621">
        <f>C11</f>
        <v>112.48298319327729</v>
      </c>
      <c r="J22" s="622" t="e">
        <f t="shared" si="0"/>
        <v>#DIV/0!</v>
      </c>
      <c r="L22" s="598"/>
    </row>
    <row r="23" spans="1:12" s="48" customFormat="1" ht="12.75" customHeight="1">
      <c r="A23" s="609" t="s">
        <v>624</v>
      </c>
      <c r="B23" s="610" t="e">
        <f>Calcul!C47/LCB</f>
        <v>#DIV/0!</v>
      </c>
      <c r="C23" s="611">
        <f>HLOOKUP($C$6,refdata,18,FALSE)</f>
        <v>0</v>
      </c>
      <c r="L23" s="598"/>
    </row>
    <row r="24" spans="1:12" s="48" customFormat="1" ht="12.75" customHeight="1">
      <c r="A24" s="604" t="s">
        <v>625</v>
      </c>
      <c r="B24" s="605" t="e">
        <f>B25+B26+B27+B28</f>
        <v>#N/A</v>
      </c>
      <c r="C24" s="605">
        <f>HLOOKUP($C$6,refdata,19,FALSE)</f>
        <v>81.08168496683335</v>
      </c>
      <c r="E24" s="612" t="s">
        <v>626</v>
      </c>
      <c r="F24" s="612"/>
      <c r="G24" s="612"/>
      <c r="H24" s="613" t="e">
        <f>SUM(H26:H28)</f>
        <v>#DIV/0!</v>
      </c>
      <c r="I24" s="613">
        <f>SUM(I26:I28)</f>
        <v>895.9548318943056</v>
      </c>
      <c r="J24" s="614" t="e">
        <f>(H24-I24)/I24</f>
        <v>#DIV/0!</v>
      </c>
      <c r="L24" s="598"/>
    </row>
    <row r="25" spans="1:12" s="48" customFormat="1" ht="12.75" customHeight="1">
      <c r="A25" s="609" t="s">
        <v>337</v>
      </c>
      <c r="B25" s="610" t="e">
        <f>(Calcul!C49+Calcul!F49)/LCB</f>
        <v>#N/A</v>
      </c>
      <c r="C25" s="611">
        <f>HLOOKUP($C$6,refdata,20,FALSE)</f>
        <v>20.80404499585194</v>
      </c>
      <c r="L25" s="598"/>
    </row>
    <row r="26" spans="1:10" ht="12.75" customHeight="1">
      <c r="A26" s="609" t="s">
        <v>273</v>
      </c>
      <c r="B26" s="610" t="e">
        <f>(Calcul!C50+Calcul!F50)/LCB</f>
        <v>#N/A</v>
      </c>
      <c r="C26" s="611">
        <f>HLOOKUP($C$6,refdata,21,FALSE)</f>
        <v>18.66954997927753</v>
      </c>
      <c r="E26" s="618" t="s">
        <v>627</v>
      </c>
      <c r="F26" s="632"/>
      <c r="G26" s="618"/>
      <c r="H26" s="620">
        <f>B48</f>
        <v>0</v>
      </c>
      <c r="I26" s="621">
        <f>C48</f>
        <v>688</v>
      </c>
      <c r="J26" s="622">
        <f>IF(I26&lt;&gt;"",(H26-I26)/I26,"")</f>
        <v>-1</v>
      </c>
    </row>
    <row r="27" spans="1:10" ht="12.75" customHeight="1">
      <c r="A27" s="609" t="s">
        <v>276</v>
      </c>
      <c r="B27" s="610" t="e">
        <f>(Calcul!C51+Calcul!F51)/LCB</f>
        <v>#N/A</v>
      </c>
      <c r="C27" s="611">
        <f>HLOOKUP($C$6,refdata,22,FALSE)</f>
        <v>35.36687649294829</v>
      </c>
      <c r="E27" s="618" t="s">
        <v>628</v>
      </c>
      <c r="F27" s="633"/>
      <c r="G27" s="618"/>
      <c r="H27" s="620" t="e">
        <f>B49</f>
        <v>#DIV/0!</v>
      </c>
      <c r="I27" s="621">
        <f>C49</f>
        <v>10.546218487394958</v>
      </c>
      <c r="J27" s="622" t="e">
        <f>IF(I27&lt;&gt;"",(H27-I27)/I27,"")</f>
        <v>#DIV/0!</v>
      </c>
    </row>
    <row r="28" spans="1:10" ht="12.75" customHeight="1">
      <c r="A28" s="609" t="s">
        <v>629</v>
      </c>
      <c r="B28" s="610" t="e">
        <f>(Calcul!C52+Calcul!F52)/LCB</f>
        <v>#N/A</v>
      </c>
      <c r="C28" s="611">
        <f>HLOOKUP($C$6,refdata,23,FALSE)</f>
        <v>6.241213498755581</v>
      </c>
      <c r="E28" s="618" t="s">
        <v>630</v>
      </c>
      <c r="F28" s="634"/>
      <c r="G28" s="618"/>
      <c r="H28" s="620" t="e">
        <f>B51+B52</f>
        <v>#DIV/0!</v>
      </c>
      <c r="I28" s="621">
        <f>C51+C52</f>
        <v>197.40861340691063</v>
      </c>
      <c r="J28" s="622" t="e">
        <f>IF(I28&lt;&gt;"",(H28-I28)/I28,"")</f>
        <v>#DIV/0!</v>
      </c>
    </row>
    <row r="29" spans="1:3" ht="15.75" customHeight="1">
      <c r="A29" s="604" t="s">
        <v>631</v>
      </c>
      <c r="B29" s="635" t="e">
        <f>B30+B31+B32</f>
        <v>#N/A</v>
      </c>
      <c r="C29" s="635">
        <f>HLOOKUP($C$6,refdata,24,FALSE)</f>
        <v>25.359906614933458</v>
      </c>
    </row>
    <row r="30" spans="1:10" ht="12.75" customHeight="1">
      <c r="A30" s="609" t="s">
        <v>281</v>
      </c>
      <c r="B30" s="610" t="e">
        <f>(Calcul!C54+Calcul!F54)/LCB</f>
        <v>#N/A</v>
      </c>
      <c r="C30" s="611">
        <f>HLOOKUP($C$6,refdata,25,FALSE)</f>
        <v>7.125924172791221</v>
      </c>
      <c r="E30" s="636"/>
      <c r="F30" s="637"/>
      <c r="G30" s="637"/>
      <c r="H30" s="638"/>
      <c r="I30" s="638"/>
      <c r="J30" s="639"/>
    </row>
    <row r="31" spans="1:10" ht="12.75" customHeight="1">
      <c r="A31" s="609" t="s">
        <v>284</v>
      </c>
      <c r="B31" s="610" t="e">
        <f>(Calcul!C55+Calcul!F55)/LCB</f>
        <v>#N/A</v>
      </c>
      <c r="C31" s="611">
        <f>HLOOKUP($C$6,refdata,26,FALSE)</f>
        <v>16.138122391321293</v>
      </c>
      <c r="E31" s="640"/>
      <c r="F31" s="578"/>
      <c r="G31" s="578"/>
      <c r="H31" s="578"/>
      <c r="I31" s="578"/>
      <c r="J31" s="641"/>
    </row>
    <row r="32" spans="1:10" ht="12.75" customHeight="1">
      <c r="A32" s="609" t="s">
        <v>288</v>
      </c>
      <c r="B32" s="610" t="e">
        <f>(Calcul!C56+Calcul!F56)/LCB</f>
        <v>#N/A</v>
      </c>
      <c r="C32" s="611">
        <f>HLOOKUP($C$6,refdata,27,FALSE)</f>
        <v>2.095860050820947</v>
      </c>
      <c r="E32" s="640"/>
      <c r="F32" s="578"/>
      <c r="G32" s="578"/>
      <c r="H32" s="578"/>
      <c r="I32" s="578"/>
      <c r="J32" s="641"/>
    </row>
    <row r="33" spans="1:10" ht="15" customHeight="1">
      <c r="A33" s="604" t="s">
        <v>438</v>
      </c>
      <c r="B33" s="635" t="e">
        <f>B34+B35+B36+B37</f>
        <v>#N/A</v>
      </c>
      <c r="C33" s="635">
        <f>HLOOKUP($C$6,refdata,28,FALSE)</f>
        <v>109.47951242266892</v>
      </c>
      <c r="E33" s="640"/>
      <c r="F33" s="578"/>
      <c r="G33" s="578"/>
      <c r="H33" s="578"/>
      <c r="I33" s="578"/>
      <c r="J33" s="641"/>
    </row>
    <row r="34" spans="1:10" ht="12.75" customHeight="1">
      <c r="A34" s="609" t="s">
        <v>292</v>
      </c>
      <c r="B34" s="610" t="e">
        <f>(Calcul!C58+Calcul!F58)/LCB</f>
        <v>#N/A</v>
      </c>
      <c r="C34" s="611">
        <f>HLOOKUP($C$6,refdata,29,FALSE)</f>
        <v>41.32311195920986</v>
      </c>
      <c r="E34" s="642"/>
      <c r="F34" s="643"/>
      <c r="G34" s="643"/>
      <c r="H34" s="644"/>
      <c r="I34" s="644"/>
      <c r="J34" s="645"/>
    </row>
    <row r="35" spans="1:10" ht="12.75" customHeight="1">
      <c r="A35" s="609" t="s">
        <v>439</v>
      </c>
      <c r="B35" s="610" t="e">
        <f>(Calcul!C59+Calcul!F59)/LCB</f>
        <v>#DIV/0!</v>
      </c>
      <c r="C35" s="611">
        <f>HLOOKUP($C$6,refdata,30,FALSE)</f>
        <v>40.514929243103396</v>
      </c>
      <c r="E35" s="1394"/>
      <c r="F35" s="1394"/>
      <c r="G35" s="1394"/>
      <c r="H35" s="1394"/>
      <c r="I35" s="1394"/>
      <c r="J35" s="1394"/>
    </row>
    <row r="36" spans="1:10" ht="12.75" customHeight="1">
      <c r="A36" s="609" t="s">
        <v>300</v>
      </c>
      <c r="B36" s="610" t="e">
        <f>(Calcul!C60+Calcul!F60)/LCB</f>
        <v>#N/A</v>
      </c>
      <c r="C36" s="611">
        <f>HLOOKUP($C$6,refdata,31,FALSE)</f>
        <v>0</v>
      </c>
      <c r="E36" s="1394"/>
      <c r="F36" s="1394"/>
      <c r="G36" s="1394"/>
      <c r="H36" s="1394"/>
      <c r="I36" s="1394"/>
      <c r="J36" s="1394"/>
    </row>
    <row r="37" spans="1:10" ht="12.75" customHeight="1">
      <c r="A37" s="609" t="s">
        <v>304</v>
      </c>
      <c r="B37" s="610" t="e">
        <f>(Calcul!C61+Calcul!F61)/LCB</f>
        <v>#N/A</v>
      </c>
      <c r="C37" s="611">
        <f>HLOOKUP($C$6,refdata,32,FALSE)</f>
        <v>27.64147122035566</v>
      </c>
      <c r="E37" s="640"/>
      <c r="F37" s="578"/>
      <c r="G37" s="578"/>
      <c r="H37" s="578"/>
      <c r="I37" s="578"/>
      <c r="J37" s="641"/>
    </row>
    <row r="38" spans="1:10" ht="15" customHeight="1">
      <c r="A38" s="599" t="s">
        <v>632</v>
      </c>
      <c r="B38" s="600" t="e">
        <f>B39+B40</f>
        <v>#N/A</v>
      </c>
      <c r="C38" s="600">
        <f>HLOOKUP($C$6,refdata,33,FALSE)</f>
        <v>197.36788029841216</v>
      </c>
      <c r="E38" s="640"/>
      <c r="F38" s="578"/>
      <c r="G38" s="578"/>
      <c r="H38" s="578"/>
      <c r="I38" s="578"/>
      <c r="J38" s="641"/>
    </row>
    <row r="39" spans="1:10" ht="12.75" customHeight="1">
      <c r="A39" s="609" t="s">
        <v>441</v>
      </c>
      <c r="B39" s="610" t="e">
        <f>(Calcul!C63+Calcul!F63)/LCB</f>
        <v>#N/A</v>
      </c>
      <c r="C39" s="611">
        <f>HLOOKUP($C$6,refdata,34,FALSE)</f>
        <v>71.55759316773234</v>
      </c>
      <c r="E39" s="640"/>
      <c r="F39" s="578"/>
      <c r="G39" s="578"/>
      <c r="H39" s="578"/>
      <c r="I39" s="578"/>
      <c r="J39" s="641"/>
    </row>
    <row r="40" spans="1:10" ht="12.75" customHeight="1">
      <c r="A40" s="609" t="s">
        <v>618</v>
      </c>
      <c r="B40" s="610" t="e">
        <f>(Calcul!C64+Calcul!F64)/LCB</f>
        <v>#N/A</v>
      </c>
      <c r="C40" s="611">
        <f>HLOOKUP($C$6,refdata,35,FALSE)</f>
        <v>125.81028713067984</v>
      </c>
      <c r="E40" s="640"/>
      <c r="F40" s="578"/>
      <c r="G40" s="578"/>
      <c r="H40" s="578"/>
      <c r="I40" s="578"/>
      <c r="J40" s="641"/>
    </row>
    <row r="41" spans="1:10" ht="15" customHeight="1">
      <c r="A41" s="599" t="s">
        <v>633</v>
      </c>
      <c r="B41" s="600" t="e">
        <f>B42+B43+B44</f>
        <v>#DIV/0!</v>
      </c>
      <c r="C41" s="600">
        <f>HLOOKUP($C$6,refdata,36,FALSE)</f>
        <v>232.78108312321822</v>
      </c>
      <c r="E41" s="640"/>
      <c r="F41" s="578"/>
      <c r="G41" s="578"/>
      <c r="H41" s="578"/>
      <c r="I41" s="578"/>
      <c r="J41" s="641"/>
    </row>
    <row r="42" spans="1:12" s="48" customFormat="1" ht="12.75" customHeight="1">
      <c r="A42" s="609" t="s">
        <v>443</v>
      </c>
      <c r="B42" s="646" t="e">
        <f>(Calcul!C66+Calcul!F66)/LCB</f>
        <v>#DIV/0!</v>
      </c>
      <c r="C42" s="647">
        <f>HLOOKUP($C$6,refdata,37,FALSE)</f>
        <v>0</v>
      </c>
      <c r="E42" s="640"/>
      <c r="F42" s="578"/>
      <c r="G42" s="578"/>
      <c r="H42" s="578"/>
      <c r="I42" s="578"/>
      <c r="J42" s="641"/>
      <c r="L42" s="598"/>
    </row>
    <row r="43" spans="1:12" s="41" customFormat="1" ht="13.5" customHeight="1">
      <c r="A43" s="648" t="s">
        <v>444</v>
      </c>
      <c r="B43" s="620" t="e">
        <f>(Calcul!C67+Calcul!F67)/LCB</f>
        <v>#N/A</v>
      </c>
      <c r="C43" s="621">
        <f>HLOOKUP($C$6,refdata,38,FALSE)</f>
        <v>0</v>
      </c>
      <c r="E43" s="640"/>
      <c r="F43" s="578"/>
      <c r="G43" s="578"/>
      <c r="H43" s="578"/>
      <c r="I43" s="578"/>
      <c r="J43" s="641"/>
      <c r="L43" s="649"/>
    </row>
    <row r="44" spans="1:10" ht="12.75" customHeight="1">
      <c r="A44" s="650" t="s">
        <v>634</v>
      </c>
      <c r="B44" s="620" t="e">
        <f>(Calcul!C68+Calcul!F68)/LCB</f>
        <v>#N/A</v>
      </c>
      <c r="C44" s="621">
        <f>HLOOKUP($C$6,refdata,39,FALSE)</f>
        <v>232.78108312321822</v>
      </c>
      <c r="E44" s="640"/>
      <c r="F44" s="578"/>
      <c r="G44" s="578"/>
      <c r="H44" s="578"/>
      <c r="I44" s="578"/>
      <c r="J44" s="641"/>
    </row>
    <row r="45" spans="1:12" s="654" customFormat="1" ht="14.25" customHeight="1">
      <c r="A45" s="651" t="s">
        <v>635</v>
      </c>
      <c r="B45" s="652" t="e">
        <f>(Calcul!C71+Calcul!F71)/LCB</f>
        <v>#N/A</v>
      </c>
      <c r="C45" s="653">
        <f>HLOOKUP($C$6,refdata,40,FALSE)</f>
        <v>54.229932716559134</v>
      </c>
      <c r="E45" s="640"/>
      <c r="F45" s="578"/>
      <c r="G45" s="578"/>
      <c r="H45" s="578"/>
      <c r="I45" s="578"/>
      <c r="J45" s="641"/>
      <c r="L45" s="655"/>
    </row>
    <row r="46" spans="1:12" s="11" customFormat="1" ht="12.75" customHeight="1">
      <c r="A46" s="502"/>
      <c r="B46" s="344"/>
      <c r="C46" s="344"/>
      <c r="E46" s="640"/>
      <c r="F46" s="578"/>
      <c r="G46" s="578"/>
      <c r="H46" s="578"/>
      <c r="I46" s="578"/>
      <c r="J46" s="641"/>
      <c r="L46" s="656"/>
    </row>
    <row r="47" spans="1:12" s="15" customFormat="1" ht="10.5" customHeight="1">
      <c r="A47" s="657" t="s">
        <v>636</v>
      </c>
      <c r="B47" s="658" t="e">
        <f>B48+B49+B51+B52</f>
        <v>#DIV/0!</v>
      </c>
      <c r="C47" s="659">
        <f>HLOOKUP($C$6,refdata,41,FALSE)</f>
        <v>895.9548318943057</v>
      </c>
      <c r="E47" s="640"/>
      <c r="F47" s="578"/>
      <c r="G47" s="578"/>
      <c r="H47" s="578"/>
      <c r="I47" s="578"/>
      <c r="J47" s="641"/>
      <c r="L47" s="660"/>
    </row>
    <row r="48" spans="1:12" s="15" customFormat="1" ht="12.75" customHeight="1">
      <c r="A48" s="661" t="s">
        <v>637</v>
      </c>
      <c r="B48" s="662">
        <f>PML</f>
        <v>0</v>
      </c>
      <c r="C48" s="663">
        <f>HLOOKUP($C$6,refdata,42,FALSE)</f>
        <v>688</v>
      </c>
      <c r="E48" s="640"/>
      <c r="F48" s="578"/>
      <c r="G48" s="578"/>
      <c r="H48" s="578"/>
      <c r="I48" s="578"/>
      <c r="J48" s="641"/>
      <c r="L48" s="660"/>
    </row>
    <row r="49" spans="1:12" s="15" customFormat="1" ht="12.75" customHeight="1">
      <c r="A49" s="664" t="s">
        <v>638</v>
      </c>
      <c r="B49" s="665" t="e">
        <f>(Calcul!C17+Calcul!C21+Calcul!C19+Calcul!C23+Calcul!F23)/LCB</f>
        <v>#DIV/0!</v>
      </c>
      <c r="C49" s="666">
        <f>HLOOKUP($C$6,refdata,43,FALSE)</f>
        <v>10.546218487394958</v>
      </c>
      <c r="E49" s="640"/>
      <c r="F49" s="578"/>
      <c r="G49" s="578"/>
      <c r="H49" s="578"/>
      <c r="I49" s="578"/>
      <c r="J49" s="641"/>
      <c r="L49" s="660"/>
    </row>
    <row r="50" spans="1:12" s="15" customFormat="1" ht="13.5" customHeight="1">
      <c r="A50" s="667" t="s">
        <v>639</v>
      </c>
      <c r="B50" s="668" t="e">
        <f>ANICAP/LCB</f>
        <v>#DIV/0!</v>
      </c>
      <c r="C50" s="669">
        <f>HLOOKUP($C$6,refdata,44,FALSE)</f>
        <v>0</v>
      </c>
      <c r="E50" s="670"/>
      <c r="F50" s="671"/>
      <c r="G50" s="671"/>
      <c r="H50" s="671"/>
      <c r="I50" s="671"/>
      <c r="J50" s="672"/>
      <c r="L50" s="660"/>
    </row>
    <row r="51" spans="1:12" s="15" customFormat="1" ht="12.75" customHeight="1">
      <c r="A51" s="673" t="s">
        <v>414</v>
      </c>
      <c r="B51" s="620" t="e">
        <f>(Calcul!C24+Calcul!F24)/LCB</f>
        <v>#DIV/0!</v>
      </c>
      <c r="C51" s="621">
        <f>HLOOKUP($C$6,refdata,45,FALSE)</f>
        <v>27.297268907563026</v>
      </c>
      <c r="E51" s="578"/>
      <c r="F51" s="578"/>
      <c r="G51" s="578"/>
      <c r="H51" s="578"/>
      <c r="I51" s="578"/>
      <c r="J51" s="578"/>
      <c r="L51" s="660"/>
    </row>
    <row r="52" spans="1:12" s="15" customFormat="1" ht="12.75" customHeight="1">
      <c r="A52" s="674" t="s">
        <v>640</v>
      </c>
      <c r="B52" s="620" t="e">
        <f>B53+B54</f>
        <v>#DIV/0!</v>
      </c>
      <c r="C52" s="621">
        <f>C53+C54</f>
        <v>170.1113444993476</v>
      </c>
      <c r="E52" s="675" t="s">
        <v>641</v>
      </c>
      <c r="F52" s="676"/>
      <c r="G52" s="676"/>
      <c r="H52" s="676"/>
      <c r="I52" s="676"/>
      <c r="J52" s="676"/>
      <c r="L52" s="660"/>
    </row>
    <row r="53" spans="1:12" s="11" customFormat="1" ht="12.75" customHeight="1">
      <c r="A53" s="677" t="s">
        <v>642</v>
      </c>
      <c r="B53" s="678" t="e">
        <f>(Calcul!C32+Calcul!C31)/LCB</f>
        <v>#DIV/0!</v>
      </c>
      <c r="C53" s="679">
        <f>HLOOKUP($C$6,refdata,46,FALSE)</f>
        <v>91.16344537815127</v>
      </c>
      <c r="E53" s="15"/>
      <c r="F53" s="680"/>
      <c r="G53" s="680"/>
      <c r="H53" s="680"/>
      <c r="I53" s="680"/>
      <c r="J53" s="680"/>
      <c r="L53" s="656"/>
    </row>
    <row r="54" spans="1:12" s="48" customFormat="1" ht="12.75" customHeight="1">
      <c r="A54" s="681" t="s">
        <v>643</v>
      </c>
      <c r="B54" s="682" t="e">
        <f>((Calcul!C29+Calcul!F29)/LCB)-B53</f>
        <v>#DIV/0!</v>
      </c>
      <c r="C54" s="669">
        <f>HLOOKUP($C$6,refdata,47,FALSE)</f>
        <v>78.94789912119634</v>
      </c>
      <c r="E54" s="1384"/>
      <c r="F54" s="1384"/>
      <c r="G54" s="1384"/>
      <c r="H54" s="1384"/>
      <c r="I54" s="1384"/>
      <c r="J54" s="1384"/>
      <c r="L54" s="598"/>
    </row>
    <row r="55" spans="1:12" s="15" customFormat="1" ht="12.75" customHeight="1">
      <c r="A55" s="683"/>
      <c r="B55" s="684"/>
      <c r="C55" s="684"/>
      <c r="D55" s="685"/>
      <c r="E55" s="1384"/>
      <c r="F55" s="1384"/>
      <c r="G55" s="1384"/>
      <c r="H55" s="1384"/>
      <c r="I55" s="1384"/>
      <c r="J55" s="1384"/>
      <c r="K55" s="685"/>
      <c r="L55" s="660"/>
    </row>
    <row r="56" spans="1:12" s="15" customFormat="1" ht="12.75" customHeight="1">
      <c r="A56" s="686" t="s">
        <v>644</v>
      </c>
      <c r="B56" s="687"/>
      <c r="C56" s="687"/>
      <c r="D56" s="685"/>
      <c r="E56" s="1384"/>
      <c r="F56" s="1384"/>
      <c r="G56" s="1384"/>
      <c r="H56" s="1384"/>
      <c r="I56" s="1384"/>
      <c r="J56" s="1384"/>
      <c r="K56" s="685"/>
      <c r="L56" s="660"/>
    </row>
    <row r="57" spans="1:12" s="291" customFormat="1" ht="12.75" customHeight="1">
      <c r="A57" s="1388" t="s">
        <v>645</v>
      </c>
      <c r="B57" s="1389" t="e">
        <f>B47-B9+B44</f>
        <v>#DIV/0!</v>
      </c>
      <c r="C57" s="1390">
        <f>C47-C9+C44</f>
        <v>200.33158993587338</v>
      </c>
      <c r="D57" s="691"/>
      <c r="E57" s="1384"/>
      <c r="F57" s="1384"/>
      <c r="G57" s="1384"/>
      <c r="H57" s="1384"/>
      <c r="I57" s="1384"/>
      <c r="J57" s="1384"/>
      <c r="K57" s="691"/>
      <c r="L57" s="660"/>
    </row>
    <row r="58" spans="1:12" s="291" customFormat="1" ht="12.75" customHeight="1">
      <c r="A58" s="1388"/>
      <c r="B58" s="1389"/>
      <c r="C58" s="1390"/>
      <c r="D58" s="691"/>
      <c r="E58" s="1384"/>
      <c r="F58" s="1384"/>
      <c r="G58" s="1384"/>
      <c r="H58" s="1384"/>
      <c r="I58" s="1384"/>
      <c r="J58" s="1384"/>
      <c r="K58" s="691"/>
      <c r="L58" s="660"/>
    </row>
    <row r="59" spans="1:12" s="15" customFormat="1" ht="12.75" customHeight="1">
      <c r="A59" s="1385" t="s">
        <v>646</v>
      </c>
      <c r="B59" s="1391" t="e">
        <f>(B57*Cuisine!C44)/SMIC</f>
        <v>#DIV/0!</v>
      </c>
      <c r="C59" s="1383">
        <f>HLOOKUP('Edition 1'!$C$6,refdata,51,FALSE)</f>
        <v>1.7212016307169746</v>
      </c>
      <c r="D59" s="685"/>
      <c r="E59" s="1384"/>
      <c r="F59" s="1384"/>
      <c r="G59" s="1384"/>
      <c r="H59" s="1384"/>
      <c r="I59" s="1384"/>
      <c r="J59" s="1384"/>
      <c r="K59" s="685"/>
      <c r="L59" s="660"/>
    </row>
    <row r="60" spans="1:12" s="15" customFormat="1" ht="12.75" customHeight="1">
      <c r="A60" s="1385"/>
      <c r="B60" s="1391"/>
      <c r="C60" s="1383"/>
      <c r="D60" s="685"/>
      <c r="E60" s="1384"/>
      <c r="F60" s="1384"/>
      <c r="G60" s="1384"/>
      <c r="H60" s="1384"/>
      <c r="I60" s="1384"/>
      <c r="J60" s="1384"/>
      <c r="K60" s="685"/>
      <c r="L60" s="660"/>
    </row>
    <row r="61" spans="1:12" s="685" customFormat="1" ht="12.75" customHeight="1">
      <c r="A61" s="1381" t="s">
        <v>647</v>
      </c>
      <c r="B61" s="1382" t="e">
        <f>UMOns*((Calcul!C68+Calcul!F68)/Calcul!B68)+IF(UMOs&gt;0,UMOs*((Calcul!C60+Calcul!F60)/Calcul!B60),0)</f>
        <v>#N/A</v>
      </c>
      <c r="C61" s="1383">
        <f>HLOOKUP('Edition 1'!$C$6,refdata,49,FALSE)</f>
        <v>1.4982250278839842</v>
      </c>
      <c r="E61" s="1384"/>
      <c r="F61" s="1384"/>
      <c r="G61" s="1384"/>
      <c r="H61" s="1384"/>
      <c r="I61" s="1384"/>
      <c r="J61" s="1384"/>
      <c r="L61" s="692"/>
    </row>
    <row r="62" spans="1:12" s="685" customFormat="1" ht="12.75" customHeight="1">
      <c r="A62" s="1381"/>
      <c r="B62" s="1382"/>
      <c r="C62" s="1383"/>
      <c r="D62" s="693"/>
      <c r="E62" s="1384"/>
      <c r="F62" s="1384"/>
      <c r="G62" s="1384"/>
      <c r="H62" s="1384"/>
      <c r="I62" s="1384"/>
      <c r="J62" s="1384"/>
      <c r="L62" s="692"/>
    </row>
    <row r="63" spans="1:12" s="685" customFormat="1" ht="10.5" customHeight="1">
      <c r="A63" s="1385" t="s">
        <v>648</v>
      </c>
      <c r="B63" s="1386" t="e">
        <f>LCB/B61</f>
        <v>#N/A</v>
      </c>
      <c r="C63" s="1387">
        <f>HLOOKUP('Edition 1'!$C$6,refdata,50,FALSE)</f>
        <v>158.8546417063523</v>
      </c>
      <c r="D63" s="694"/>
      <c r="E63" s="1384"/>
      <c r="F63" s="1384"/>
      <c r="G63" s="1384"/>
      <c r="H63" s="1384"/>
      <c r="I63" s="1384"/>
      <c r="J63" s="1384"/>
      <c r="L63" s="692"/>
    </row>
    <row r="64" spans="1:12" s="397" customFormat="1" ht="17.25" customHeight="1">
      <c r="A64" s="1385"/>
      <c r="B64" s="1386"/>
      <c r="C64" s="1387"/>
      <c r="D64" s="695"/>
      <c r="E64" s="1384"/>
      <c r="F64" s="1384"/>
      <c r="G64" s="1384"/>
      <c r="H64" s="1384"/>
      <c r="I64" s="1384"/>
      <c r="J64" s="1384"/>
      <c r="L64" s="696"/>
    </row>
  </sheetData>
  <sheetProtection password="BF82" sheet="1"/>
  <mergeCells count="26">
    <mergeCell ref="I9:I10"/>
    <mergeCell ref="J9:J10"/>
    <mergeCell ref="E35:J36"/>
    <mergeCell ref="E54:J54"/>
    <mergeCell ref="E55:J55"/>
    <mergeCell ref="E56:J56"/>
    <mergeCell ref="A57:A58"/>
    <mergeCell ref="B57:B58"/>
    <mergeCell ref="C57:C58"/>
    <mergeCell ref="E57:J57"/>
    <mergeCell ref="E58:J58"/>
    <mergeCell ref="A59:A60"/>
    <mergeCell ref="B59:B60"/>
    <mergeCell ref="C59:C60"/>
    <mergeCell ref="E59:J59"/>
    <mergeCell ref="E60:J60"/>
    <mergeCell ref="A61:A62"/>
    <mergeCell ref="B61:B62"/>
    <mergeCell ref="C61:C62"/>
    <mergeCell ref="E61:J61"/>
    <mergeCell ref="E62:J62"/>
    <mergeCell ref="A63:A64"/>
    <mergeCell ref="B63:B64"/>
    <mergeCell ref="C63:C64"/>
    <mergeCell ref="E63:J63"/>
    <mergeCell ref="E64:J64"/>
  </mergeCells>
  <dataValidations count="2">
    <dataValidation type="list" allowBlank="1" showErrorMessage="1" sqref="C6">
      <formula1>Référentiel</formula1>
      <formula2>0</formula2>
    </dataValidation>
    <dataValidation type="list" allowBlank="1" showErrorMessage="1" sqref="L9">
      <formula1>"choix Référentiel"</formula1>
      <formula2>0</formula2>
    </dataValidation>
  </dataValidations>
  <printOptions horizontalCentered="1"/>
  <pageMargins left="0.39375" right="0.39375" top="0.39375" bottom="0.39375" header="0.5118055555555555" footer="0.5118055555555555"/>
  <pageSetup fitToHeight="1" fitToWidth="1" horizontalDpi="300" verticalDpi="300" orientation="portrait" paperSize="9" scale="86"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2:L67"/>
  <sheetViews>
    <sheetView zoomScalePageLayoutView="0" workbookViewId="0" topLeftCell="A4">
      <selection activeCell="F16" sqref="F16"/>
    </sheetView>
  </sheetViews>
  <sheetFormatPr defaultColWidth="11.421875" defaultRowHeight="15" customHeight="1"/>
  <cols>
    <col min="1" max="1" width="34.57421875" style="502" customWidth="1"/>
    <col min="2" max="2" width="10.00390625" style="344" customWidth="1"/>
    <col min="3" max="3" width="10.57421875" style="344" customWidth="1"/>
    <col min="4" max="4" width="3.140625" style="268" customWidth="1"/>
    <col min="5" max="5" width="33.57421875" style="268" customWidth="1"/>
    <col min="6" max="6" width="12.7109375" style="268" customWidth="1"/>
    <col min="7" max="7" width="12.00390625" style="268" customWidth="1"/>
    <col min="8" max="8" width="7.00390625" style="268" customWidth="1"/>
    <col min="9" max="9" width="11.421875" style="268" customWidth="1"/>
    <col min="10" max="10" width="11.421875" style="697" customWidth="1"/>
    <col min="11" max="11" width="6.28125" style="698" customWidth="1"/>
    <col min="12" max="16384" width="11.421875" style="268" customWidth="1"/>
  </cols>
  <sheetData>
    <row r="2" spans="1:3" ht="18" customHeight="1">
      <c r="A2" s="504"/>
      <c r="C2" s="317"/>
    </row>
    <row r="3" ht="12.75" customHeight="1"/>
    <row r="4" spans="2:12" ht="23.25" customHeight="1">
      <c r="B4" s="368"/>
      <c r="E4" s="575"/>
      <c r="G4" s="576" t="s">
        <v>599</v>
      </c>
      <c r="H4" s="577">
        <f>DATEVER</f>
        <v>43515</v>
      </c>
      <c r="L4" s="578"/>
    </row>
    <row r="5" spans="1:8" ht="16.5" customHeight="1">
      <c r="A5" s="579">
        <f>IF(EXP&lt;&gt;"",EXP,"")</f>
      </c>
      <c r="B5" s="580" t="s">
        <v>600</v>
      </c>
      <c r="C5" s="581" t="s">
        <v>601</v>
      </c>
      <c r="E5" s="582" t="s">
        <v>602</v>
      </c>
      <c r="F5" s="584"/>
      <c r="G5" s="584"/>
      <c r="H5" s="585"/>
    </row>
    <row r="6" spans="1:8" ht="71.25" customHeight="1">
      <c r="A6" s="519" t="str">
        <f>CONCATENATE("Campagne : ",CAMP)</f>
        <v>Campagne : 2019</v>
      </c>
      <c r="B6" s="586" t="s">
        <v>603</v>
      </c>
      <c r="C6" s="587" t="s">
        <v>604</v>
      </c>
      <c r="E6" s="588" t="str">
        <f>IF(HLOOKUP($C$6,refdata,1,FALSE)&lt;&gt;0,HLOOKUP($C$6,refdata,1,FALSE),"")</f>
        <v>LIVREUR SPE PATURAGE 2014</v>
      </c>
      <c r="F6" s="590" t="str">
        <f>HLOOKUP($C$6,refdata,3,FALSE)</f>
        <v>Cas type</v>
      </c>
      <c r="G6" s="591" t="s">
        <v>649</v>
      </c>
      <c r="H6" s="699">
        <f>HLOOKUP($C$6,refdata,2,FALSE)</f>
        <v>2014</v>
      </c>
    </row>
    <row r="7" spans="1:3" ht="16.5" customHeight="1">
      <c r="A7" s="593" t="s">
        <v>606</v>
      </c>
      <c r="B7" s="401"/>
      <c r="C7" s="401"/>
    </row>
    <row r="8" spans="1:3" ht="3" customHeight="1" hidden="1">
      <c r="A8" s="593"/>
      <c r="B8" s="401"/>
      <c r="C8" s="401"/>
    </row>
    <row r="9" spans="1:11" s="48" customFormat="1" ht="15.75" customHeight="1">
      <c r="A9" s="594" t="s">
        <v>607</v>
      </c>
      <c r="B9" s="595" t="e">
        <f>B41+B38+B10</f>
        <v>#DIV/0!</v>
      </c>
      <c r="C9" s="595">
        <f>HLOOKUP($C$6,refdata,4,FALSE)</f>
        <v>777.307</v>
      </c>
      <c r="E9" s="700" t="s">
        <v>650</v>
      </c>
      <c r="F9" s="701"/>
      <c r="G9" s="701"/>
      <c r="H9" s="702"/>
      <c r="J9" s="703"/>
      <c r="K9" s="47"/>
    </row>
    <row r="10" spans="1:11" s="601" customFormat="1" ht="24" customHeight="1">
      <c r="A10" s="599" t="s">
        <v>610</v>
      </c>
      <c r="B10" s="600" t="e">
        <f>B11+B14+B18+B21+B24+B29+B33</f>
        <v>#DIV/0!</v>
      </c>
      <c r="C10" s="600">
        <f>HLOOKUP($C$6,refdata,5,FALSE)</f>
        <v>455.901</v>
      </c>
      <c r="E10" s="704" t="s">
        <v>651</v>
      </c>
      <c r="F10" s="705" t="e">
        <f>B9-B44-B49-B51</f>
        <v>#DIV/0!</v>
      </c>
      <c r="G10" s="706">
        <f>C9-C44-C49-C51</f>
        <v>540.455</v>
      </c>
      <c r="H10" s="707" t="e">
        <f>IF(G10&lt;&gt;"",(F10-G10)/G10,"")</f>
        <v>#DIV/0!</v>
      </c>
      <c r="J10" s="708"/>
      <c r="K10" s="47"/>
    </row>
    <row r="11" spans="1:11" s="601" customFormat="1" ht="24.75" customHeight="1">
      <c r="A11" s="604" t="s">
        <v>612</v>
      </c>
      <c r="B11" s="605" t="e">
        <f>B12+B13</f>
        <v>#DIV/0!</v>
      </c>
      <c r="C11" s="605">
        <f>HLOOKUP($C$6,refdata,6,FALSE)</f>
        <v>104.274</v>
      </c>
      <c r="E11" s="709" t="s">
        <v>652</v>
      </c>
      <c r="F11" s="710" t="e">
        <f>B44/2</f>
        <v>#N/A</v>
      </c>
      <c r="G11" s="711">
        <f>SMIC/Cuisine!D44</f>
        <v>116.3905415616091</v>
      </c>
      <c r="H11" s="712" t="e">
        <f>IF(G11&lt;&gt;"",(F11-G11)/G11,"")</f>
        <v>#N/A</v>
      </c>
      <c r="J11" s="708"/>
      <c r="K11" s="47"/>
    </row>
    <row r="12" spans="1:11" s="601" customFormat="1" ht="12.75" customHeight="1">
      <c r="A12" s="609" t="s">
        <v>613</v>
      </c>
      <c r="B12" s="610" t="e">
        <f>Calcul!C36/LCB</f>
        <v>#DIV/0!</v>
      </c>
      <c r="C12" s="611">
        <f>HLOOKUP($C$6,refdata,7,FALSE)</f>
        <v>104.274</v>
      </c>
      <c r="E12" s="713"/>
      <c r="F12" s="714"/>
      <c r="G12" s="714"/>
      <c r="H12" s="715"/>
      <c r="J12" s="708"/>
      <c r="K12" s="47"/>
    </row>
    <row r="13" spans="1:11" s="601" customFormat="1" ht="12.75" customHeight="1">
      <c r="A13" s="609" t="s">
        <v>230</v>
      </c>
      <c r="B13" s="610" t="e">
        <f>Calcul!C37/LCB</f>
        <v>#DIV/0!</v>
      </c>
      <c r="C13" s="611">
        <f>HLOOKUP($C$6,refdata,8,FALSE)</f>
        <v>0</v>
      </c>
      <c r="E13" s="716"/>
      <c r="F13" s="717"/>
      <c r="G13" s="717"/>
      <c r="H13" s="718"/>
      <c r="J13" s="708"/>
      <c r="K13" s="47"/>
    </row>
    <row r="14" spans="1:11" s="601" customFormat="1" ht="18.75" customHeight="1">
      <c r="A14" s="604" t="s">
        <v>615</v>
      </c>
      <c r="B14" s="605" t="e">
        <f>B15+B16+B17</f>
        <v>#DIV/0!</v>
      </c>
      <c r="C14" s="605">
        <f>HLOOKUP($C$6,refdata,9,FALSE)</f>
        <v>26.267</v>
      </c>
      <c r="J14" s="708"/>
      <c r="K14" s="47"/>
    </row>
    <row r="15" spans="1:11" s="601" customFormat="1" ht="15.75" customHeight="1">
      <c r="A15" s="609" t="s">
        <v>235</v>
      </c>
      <c r="B15" s="610" t="e">
        <f>(Calcul!C39+Calcul!F39)/LCB</f>
        <v>#DIV/0!</v>
      </c>
      <c r="C15" s="611">
        <f>HLOOKUP($C$6,refdata,10,FALSE)</f>
        <v>23.063</v>
      </c>
      <c r="E15" s="686" t="s">
        <v>653</v>
      </c>
      <c r="F15" s="719"/>
      <c r="G15" s="720"/>
      <c r="H15" s="720"/>
      <c r="J15" s="708"/>
      <c r="K15" s="47"/>
    </row>
    <row r="16" spans="1:11" s="48" customFormat="1" ht="24" customHeight="1">
      <c r="A16" s="609" t="s">
        <v>242</v>
      </c>
      <c r="B16" s="610" t="e">
        <f>(Calcul!C40+Calcul!F40)/LCB</f>
        <v>#DIV/0!</v>
      </c>
      <c r="C16" s="611">
        <f>HLOOKUP($C$6,refdata,11,FALSE)</f>
        <v>1.641</v>
      </c>
      <c r="E16" s="721" t="s">
        <v>654</v>
      </c>
      <c r="F16" s="722">
        <v>2</v>
      </c>
      <c r="G16" s="723">
        <f>F16</f>
        <v>2</v>
      </c>
      <c r="H16" s="724"/>
      <c r="J16" s="703"/>
      <c r="K16" s="47"/>
    </row>
    <row r="17" spans="1:11" s="601" customFormat="1" ht="24" customHeight="1">
      <c r="A17" s="609" t="s">
        <v>247</v>
      </c>
      <c r="B17" s="610" t="e">
        <f>(Calcul!C41+Calcul!F41)/LCB</f>
        <v>#DIV/0!</v>
      </c>
      <c r="C17" s="611">
        <f>HLOOKUP($C$6,refdata,12,FALSE)</f>
        <v>1.563</v>
      </c>
      <c r="D17" s="48"/>
      <c r="E17" s="725" t="str">
        <f>"Prix pour "&amp;$F$16&amp;" SMIC hors aides découplées et 2° pilier"</f>
        <v>Prix pour 2 SMIC hors aides découplées et 2° pilier</v>
      </c>
      <c r="F17" s="726" t="e">
        <f>$B$9-$B$44+($F$11*$F$16)-$B$49-$B$51</f>
        <v>#DIV/0!</v>
      </c>
      <c r="G17" s="727">
        <f>$C$9-$C$44+($G$11*$F$16)-$C$49-$C$51</f>
        <v>773.2360831232182</v>
      </c>
      <c r="H17" s="728" t="e">
        <f>IF(G17&lt;&gt;"",(F17-G17)/G17,"")</f>
        <v>#DIV/0!</v>
      </c>
      <c r="J17" s="708"/>
      <c r="K17" s="47"/>
    </row>
    <row r="18" spans="1:11" s="48" customFormat="1" ht="24.75" customHeight="1">
      <c r="A18" s="604" t="s">
        <v>428</v>
      </c>
      <c r="B18" s="605" t="e">
        <f>B19+B20</f>
        <v>#DIV/0!</v>
      </c>
      <c r="C18" s="605">
        <f>HLOOKUP($C$6,refdata,13,FALSE)</f>
        <v>101.875</v>
      </c>
      <c r="E18" s="729" t="s">
        <v>655</v>
      </c>
      <c r="F18" s="730" t="e">
        <f>B53+B54</f>
        <v>#DIV/0!</v>
      </c>
      <c r="G18" s="731">
        <f>C53+C54</f>
        <v>121.485</v>
      </c>
      <c r="H18" s="728" t="e">
        <f>IF(G18&lt;&gt;"",(F18-G18)/G18,"")</f>
        <v>#DIV/0!</v>
      </c>
      <c r="J18" s="703"/>
      <c r="K18" s="47"/>
    </row>
    <row r="19" spans="1:11" s="48" customFormat="1" ht="24.75" customHeight="1">
      <c r="A19" s="609" t="s">
        <v>252</v>
      </c>
      <c r="B19" s="610" t="e">
        <f>Calcul!C43/LCB</f>
        <v>#DIV/0!</v>
      </c>
      <c r="C19" s="611">
        <f>HLOOKUP($C$6,refdata,14,FALSE)</f>
        <v>20.625</v>
      </c>
      <c r="E19" s="732" t="str">
        <f>"Prix pour "&amp;$F$16&amp;" SMIC avec aides réparties par ha de SAU"</f>
        <v>Prix pour 2 SMIC avec aides réparties par ha de SAU</v>
      </c>
      <c r="F19" s="733" t="e">
        <f>F17-F18</f>
        <v>#DIV/0!</v>
      </c>
      <c r="G19" s="734">
        <f>G17-G18</f>
        <v>651.7510831232182</v>
      </c>
      <c r="H19" s="735" t="e">
        <f>IF(G19&lt;&gt;"",(F19-G19)/G19,"")</f>
        <v>#DIV/0!</v>
      </c>
      <c r="J19" s="703"/>
      <c r="K19" s="47"/>
    </row>
    <row r="20" spans="1:11" s="48" customFormat="1" ht="12.75" customHeight="1">
      <c r="A20" s="609" t="s">
        <v>258</v>
      </c>
      <c r="B20" s="610" t="e">
        <f>Calcul!C44/LCB</f>
        <v>#DIV/0!</v>
      </c>
      <c r="C20" s="611">
        <f>HLOOKUP($C$6,refdata,15,FALSE)</f>
        <v>81.25</v>
      </c>
      <c r="E20" s="713"/>
      <c r="F20" s="736"/>
      <c r="G20" s="737"/>
      <c r="H20" s="715"/>
      <c r="J20" s="703"/>
      <c r="K20" s="47"/>
    </row>
    <row r="21" spans="1:11" s="48" customFormat="1" ht="24.75" customHeight="1">
      <c r="A21" s="604" t="s">
        <v>621</v>
      </c>
      <c r="B21" s="605" t="e">
        <f>B22+B23</f>
        <v>#DIV/0!</v>
      </c>
      <c r="C21" s="605">
        <f>HLOOKUP($C$6,refdata,16,FALSE)</f>
        <v>0</v>
      </c>
      <c r="E21" s="738"/>
      <c r="F21" s="739"/>
      <c r="G21" s="739"/>
      <c r="H21" s="740"/>
      <c r="J21" s="703"/>
      <c r="K21" s="47"/>
    </row>
    <row r="22" spans="1:11" s="48" customFormat="1" ht="13.5" customHeight="1">
      <c r="A22" s="609" t="s">
        <v>623</v>
      </c>
      <c r="B22" s="610" t="e">
        <f>Calcul!C46/LCB</f>
        <v>#DIV/0!</v>
      </c>
      <c r="C22" s="611">
        <f>HLOOKUP($C$6,refdata,17,FALSE)</f>
        <v>0</v>
      </c>
      <c r="E22" s="643"/>
      <c r="F22" s="644"/>
      <c r="G22" s="644"/>
      <c r="H22" s="741"/>
      <c r="J22" s="703"/>
      <c r="K22" s="47"/>
    </row>
    <row r="23" spans="1:11" s="48" customFormat="1" ht="12.75" customHeight="1">
      <c r="A23" s="609" t="s">
        <v>624</v>
      </c>
      <c r="B23" s="610" t="e">
        <f>Calcul!C47/LCB</f>
        <v>#DIV/0!</v>
      </c>
      <c r="C23" s="611">
        <f>HLOOKUP($C$6,refdata,18,FALSE)</f>
        <v>0</v>
      </c>
      <c r="E23" s="1395" t="s">
        <v>656</v>
      </c>
      <c r="F23" s="1395"/>
      <c r="G23" s="1395"/>
      <c r="H23" s="1395"/>
      <c r="J23" s="703"/>
      <c r="K23" s="47"/>
    </row>
    <row r="24" spans="1:11" s="48" customFormat="1" ht="12.75" customHeight="1">
      <c r="A24" s="604" t="s">
        <v>625</v>
      </c>
      <c r="B24" s="605" t="e">
        <f>B25+B26+B27+B28</f>
        <v>#N/A</v>
      </c>
      <c r="C24" s="605">
        <f>HLOOKUP($C$6,refdata,19,FALSE)</f>
        <v>55.86</v>
      </c>
      <c r="E24" s="1395"/>
      <c r="F24" s="1395"/>
      <c r="G24" s="1395"/>
      <c r="H24" s="1395"/>
      <c r="J24" s="703"/>
      <c r="K24" s="47"/>
    </row>
    <row r="25" spans="1:11" s="48" customFormat="1" ht="12.75" customHeight="1">
      <c r="A25" s="609" t="s">
        <v>337</v>
      </c>
      <c r="B25" s="610" t="e">
        <f>(Calcul!C49+Calcul!F49)/LCB</f>
        <v>#N/A</v>
      </c>
      <c r="C25" s="611">
        <f>HLOOKUP($C$6,refdata,20,FALSE)</f>
        <v>3.75</v>
      </c>
      <c r="E25" s="742"/>
      <c r="F25" s="578"/>
      <c r="G25" s="578"/>
      <c r="H25" s="743"/>
      <c r="J25" s="703"/>
      <c r="K25" s="47"/>
    </row>
    <row r="26" spans="1:8" ht="12.75" customHeight="1">
      <c r="A26" s="609" t="s">
        <v>273</v>
      </c>
      <c r="B26" s="610" t="e">
        <f>(Calcul!C50+Calcul!F50)/LCB</f>
        <v>#N/A</v>
      </c>
      <c r="C26" s="611">
        <f>HLOOKUP($C$6,refdata,21,FALSE)</f>
        <v>30.391</v>
      </c>
      <c r="E26" s="742"/>
      <c r="F26" s="578"/>
      <c r="G26" s="578"/>
      <c r="H26" s="743"/>
    </row>
    <row r="27" spans="1:8" ht="12.75" customHeight="1">
      <c r="A27" s="609" t="s">
        <v>276</v>
      </c>
      <c r="B27" s="610" t="e">
        <f>(Calcul!C51+Calcul!F51)/LCB</f>
        <v>#N/A</v>
      </c>
      <c r="C27" s="611">
        <f>HLOOKUP($C$6,refdata,22,FALSE)</f>
        <v>13.906</v>
      </c>
      <c r="E27" s="742"/>
      <c r="F27" s="578"/>
      <c r="G27" s="578"/>
      <c r="H27" s="743"/>
    </row>
    <row r="28" spans="1:8" ht="12.75" customHeight="1">
      <c r="A28" s="609" t="s">
        <v>629</v>
      </c>
      <c r="B28" s="610" t="e">
        <f>(Calcul!C52+Calcul!F52)/LCB</f>
        <v>#N/A</v>
      </c>
      <c r="C28" s="611">
        <f>HLOOKUP($C$6,refdata,23,FALSE)</f>
        <v>7.813</v>
      </c>
      <c r="E28" s="742"/>
      <c r="F28" s="578"/>
      <c r="G28" s="578"/>
      <c r="H28" s="743"/>
    </row>
    <row r="29" spans="1:8" ht="15" customHeight="1">
      <c r="A29" s="604" t="s">
        <v>631</v>
      </c>
      <c r="B29" s="635" t="e">
        <f>B30+B31+B32</f>
        <v>#N/A</v>
      </c>
      <c r="C29" s="635">
        <f>HLOOKUP($C$6,refdata,24,FALSE)</f>
        <v>48.781</v>
      </c>
      <c r="E29" s="742"/>
      <c r="F29" s="578"/>
      <c r="G29" s="578"/>
      <c r="H29" s="743"/>
    </row>
    <row r="30" spans="1:8" ht="12.75" customHeight="1">
      <c r="A30" s="609" t="s">
        <v>281</v>
      </c>
      <c r="B30" s="610" t="e">
        <f>(Calcul!C54+Calcul!F54)/LCB</f>
        <v>#N/A</v>
      </c>
      <c r="C30" s="611">
        <f>HLOOKUP($C$6,refdata,25,FALSE)</f>
        <v>5.031</v>
      </c>
      <c r="E30" s="742"/>
      <c r="F30" s="578"/>
      <c r="G30" s="578"/>
      <c r="H30" s="743"/>
    </row>
    <row r="31" spans="1:8" ht="12.75" customHeight="1">
      <c r="A31" s="609" t="s">
        <v>284</v>
      </c>
      <c r="B31" s="610" t="e">
        <f>(Calcul!C55+Calcul!F55)/LCB</f>
        <v>#N/A</v>
      </c>
      <c r="C31" s="611">
        <f>HLOOKUP($C$6,refdata,26,FALSE)</f>
        <v>19.297</v>
      </c>
      <c r="E31" s="742"/>
      <c r="F31" s="578"/>
      <c r="G31" s="578"/>
      <c r="H31" s="743"/>
    </row>
    <row r="32" spans="1:8" ht="12.75" customHeight="1">
      <c r="A32" s="609" t="s">
        <v>288</v>
      </c>
      <c r="B32" s="610" t="e">
        <f>(Calcul!C56+Calcul!F56)/LCB</f>
        <v>#N/A</v>
      </c>
      <c r="C32" s="611">
        <f>HLOOKUP($C$6,refdata,27,FALSE)</f>
        <v>24.453</v>
      </c>
      <c r="E32" s="742"/>
      <c r="F32" s="578"/>
      <c r="G32" s="578"/>
      <c r="H32" s="743"/>
    </row>
    <row r="33" spans="1:8" ht="15" customHeight="1">
      <c r="A33" s="604" t="s">
        <v>438</v>
      </c>
      <c r="B33" s="635" t="e">
        <f>B34+B35+B36+B37</f>
        <v>#N/A</v>
      </c>
      <c r="C33" s="635">
        <f>HLOOKUP($C$6,refdata,28,FALSE)</f>
        <v>118.844</v>
      </c>
      <c r="E33" s="742"/>
      <c r="F33" s="578"/>
      <c r="G33" s="578"/>
      <c r="H33" s="743"/>
    </row>
    <row r="34" spans="1:8" ht="12.75" customHeight="1">
      <c r="A34" s="609" t="s">
        <v>292</v>
      </c>
      <c r="B34" s="610" t="e">
        <f>(Calcul!C58+Calcul!F58)/LCB</f>
        <v>#N/A</v>
      </c>
      <c r="C34" s="611">
        <f>HLOOKUP($C$6,refdata,29,FALSE)</f>
        <v>47.891</v>
      </c>
      <c r="E34" s="742"/>
      <c r="F34" s="578"/>
      <c r="G34" s="578"/>
      <c r="H34" s="743"/>
    </row>
    <row r="35" spans="1:8" ht="12.75" customHeight="1">
      <c r="A35" s="609" t="s">
        <v>439</v>
      </c>
      <c r="B35" s="610" t="e">
        <f>(Calcul!C59+Calcul!F59)/LCB</f>
        <v>#DIV/0!</v>
      </c>
      <c r="C35" s="611">
        <f>HLOOKUP($C$6,refdata,30,FALSE)</f>
        <v>43.281</v>
      </c>
      <c r="E35" s="742"/>
      <c r="F35" s="578"/>
      <c r="G35" s="578"/>
      <c r="H35" s="743"/>
    </row>
    <row r="36" spans="1:8" ht="12.75" customHeight="1">
      <c r="A36" s="609" t="s">
        <v>300</v>
      </c>
      <c r="B36" s="610" t="e">
        <f>(Calcul!C60+Calcul!F60)/LCB</f>
        <v>#N/A</v>
      </c>
      <c r="C36" s="611">
        <f>HLOOKUP($C$6,refdata,31,FALSE)</f>
        <v>0</v>
      </c>
      <c r="E36" s="742"/>
      <c r="F36" s="578"/>
      <c r="G36" s="578"/>
      <c r="H36" s="743"/>
    </row>
    <row r="37" spans="1:8" ht="12.75" customHeight="1">
      <c r="A37" s="609" t="s">
        <v>304</v>
      </c>
      <c r="B37" s="610" t="e">
        <f>(Calcul!C61+Calcul!F61)/LCB</f>
        <v>#N/A</v>
      </c>
      <c r="C37" s="611">
        <f>HLOOKUP($C$6,refdata,32,FALSE)</f>
        <v>27.672</v>
      </c>
      <c r="E37" s="742"/>
      <c r="F37" s="578"/>
      <c r="G37" s="578"/>
      <c r="H37" s="743"/>
    </row>
    <row r="38" spans="1:8" ht="15" customHeight="1">
      <c r="A38" s="599" t="s">
        <v>632</v>
      </c>
      <c r="B38" s="600" t="e">
        <f>B39+B40</f>
        <v>#N/A</v>
      </c>
      <c r="C38" s="600">
        <f>HLOOKUP($C$6,refdata,33,FALSE)</f>
        <v>114.828</v>
      </c>
      <c r="E38" s="742"/>
      <c r="F38" s="578"/>
      <c r="G38" s="578"/>
      <c r="H38" s="743"/>
    </row>
    <row r="39" spans="1:8" ht="12.75" customHeight="1">
      <c r="A39" s="609" t="s">
        <v>441</v>
      </c>
      <c r="B39" s="610" t="e">
        <f>(Calcul!C63+Calcul!F63)/LCB</f>
        <v>#N/A</v>
      </c>
      <c r="C39" s="611">
        <f>HLOOKUP($C$6,refdata,34,FALSE)</f>
        <v>66.406</v>
      </c>
      <c r="E39" s="742"/>
      <c r="F39" s="578"/>
      <c r="G39" s="578"/>
      <c r="H39" s="743"/>
    </row>
    <row r="40" spans="1:8" ht="12.75" customHeight="1">
      <c r="A40" s="609" t="s">
        <v>618</v>
      </c>
      <c r="B40" s="610" t="e">
        <f>(Calcul!C64+Calcul!F64)/LCB</f>
        <v>#N/A</v>
      </c>
      <c r="C40" s="611">
        <f>HLOOKUP($C$6,refdata,35,FALSE)</f>
        <v>48.422</v>
      </c>
      <c r="E40" s="744"/>
      <c r="F40" s="676"/>
      <c r="G40" s="676"/>
      <c r="H40" s="745"/>
    </row>
    <row r="41" spans="1:8" ht="15.75" customHeight="1">
      <c r="A41" s="599" t="s">
        <v>633</v>
      </c>
      <c r="B41" s="600" t="e">
        <f>B42+B43+B44</f>
        <v>#DIV/0!</v>
      </c>
      <c r="C41" s="600">
        <f>HLOOKUP($C$6,refdata,36,FALSE)</f>
        <v>206.578</v>
      </c>
      <c r="E41" s="746"/>
      <c r="F41" s="747"/>
      <c r="G41" s="747"/>
      <c r="H41" s="748"/>
    </row>
    <row r="42" spans="1:11" s="48" customFormat="1" ht="12.75" customHeight="1">
      <c r="A42" s="609" t="s">
        <v>443</v>
      </c>
      <c r="B42" s="646" t="e">
        <f>(Calcul!C66+Calcul!F66)/LCB</f>
        <v>#DIV/0!</v>
      </c>
      <c r="C42" s="647">
        <f>HLOOKUP($C$6,refdata,37,FALSE)</f>
        <v>0</v>
      </c>
      <c r="E42" s="578"/>
      <c r="F42" s="578"/>
      <c r="G42" s="578"/>
      <c r="H42" s="578"/>
      <c r="J42" s="703"/>
      <c r="K42" s="47"/>
    </row>
    <row r="43" spans="1:11" s="41" customFormat="1" ht="13.5" customHeight="1">
      <c r="A43" s="648" t="s">
        <v>444</v>
      </c>
      <c r="B43" s="620" t="e">
        <f>(Calcul!C67+Calcul!F67)/LCB</f>
        <v>#N/A</v>
      </c>
      <c r="C43" s="621">
        <f>HLOOKUP($C$6,refdata,38,FALSE)</f>
        <v>0</v>
      </c>
      <c r="E43" s="1396" t="s">
        <v>657</v>
      </c>
      <c r="F43" s="1396"/>
      <c r="G43" s="1396"/>
      <c r="H43" s="1396"/>
      <c r="J43" s="749"/>
      <c r="K43" s="42"/>
    </row>
    <row r="44" spans="1:8" ht="12.75" customHeight="1">
      <c r="A44" s="650" t="s">
        <v>634</v>
      </c>
      <c r="B44" s="620" t="e">
        <f>(Calcul!C68+Calcul!F68)/LCB</f>
        <v>#N/A</v>
      </c>
      <c r="C44" s="621">
        <f>HLOOKUP($C$6,refdata,39,FALSE)</f>
        <v>206.578</v>
      </c>
      <c r="E44" s="750" t="s">
        <v>658</v>
      </c>
      <c r="F44" s="751" t="e">
        <f>B47</f>
        <v>#DIV/0!</v>
      </c>
      <c r="G44" s="752">
        <f>HLOOKUP($C$6,refdata,53,FALSE)</f>
        <v>805.7589999999999</v>
      </c>
      <c r="H44" s="753" t="e">
        <f aca="true" t="shared" si="0" ref="H44:H52">IF(G44&lt;&gt;"",(F44-G44)/G44,"")</f>
        <v>#DIV/0!</v>
      </c>
    </row>
    <row r="45" spans="1:11" s="654" customFormat="1" ht="14.25" customHeight="1">
      <c r="A45" s="754" t="s">
        <v>635</v>
      </c>
      <c r="B45" s="755" t="e">
        <f>(Calcul!C71+Calcul!F71)/LCB</f>
        <v>#N/A</v>
      </c>
      <c r="C45" s="756">
        <f>HLOOKUP($C$6,refdata,40,FALSE)</f>
        <v>35.156</v>
      </c>
      <c r="E45" s="757" t="s">
        <v>659</v>
      </c>
      <c r="F45" s="758" t="e">
        <f>B11+B14+B18+B21</f>
        <v>#DIV/0!</v>
      </c>
      <c r="G45" s="752">
        <f>HLOOKUP($C$6,refdata,54,FALSE)</f>
        <v>232.416</v>
      </c>
      <c r="H45" s="759" t="e">
        <f t="shared" si="0"/>
        <v>#DIV/0!</v>
      </c>
      <c r="J45" s="760"/>
      <c r="K45" s="761"/>
    </row>
    <row r="46" spans="1:11" s="11" customFormat="1" ht="12.75" customHeight="1">
      <c r="A46" s="502"/>
      <c r="B46" s="344"/>
      <c r="C46" s="344"/>
      <c r="E46" s="762" t="s">
        <v>660</v>
      </c>
      <c r="F46" s="758" t="e">
        <f>B24+B29+B33-B37+(IF+MSACAP)/LCB</f>
        <v>#N/A</v>
      </c>
      <c r="G46" s="752">
        <f>HLOOKUP($C$6,refdata,55,FALSE)</f>
        <v>246.59399999999988</v>
      </c>
      <c r="H46" s="759" t="e">
        <f t="shared" si="0"/>
        <v>#N/A</v>
      </c>
      <c r="J46" s="763"/>
      <c r="K46" s="763"/>
    </row>
    <row r="47" spans="1:11" s="15" customFormat="1" ht="15" customHeight="1">
      <c r="A47" s="764" t="s">
        <v>636</v>
      </c>
      <c r="B47" s="765" t="e">
        <f>B48+B49+B51+B52</f>
        <v>#DIV/0!</v>
      </c>
      <c r="C47" s="766">
        <f>HLOOKUP($C$6,refdata,41,FALSE)</f>
        <v>805.7589999999999</v>
      </c>
      <c r="E47" s="767" t="s">
        <v>661</v>
      </c>
      <c r="F47" s="751" t="e">
        <f>F44-F45-F46</f>
        <v>#DIV/0!</v>
      </c>
      <c r="G47" s="752">
        <f>HLOOKUP($C$6,refdata,56,FALSE)</f>
        <v>326.749</v>
      </c>
      <c r="H47" s="768" t="e">
        <f t="shared" si="0"/>
        <v>#DIV/0!</v>
      </c>
      <c r="J47" s="769"/>
      <c r="K47" s="769"/>
    </row>
    <row r="48" spans="1:11" s="15" customFormat="1" ht="12.75" customHeight="1">
      <c r="A48" s="661" t="s">
        <v>637</v>
      </c>
      <c r="B48" s="662">
        <f>PML</f>
        <v>0</v>
      </c>
      <c r="C48" s="663">
        <f>HLOOKUP($C$6,refdata,42,FALSE)</f>
        <v>654</v>
      </c>
      <c r="E48" s="770" t="s">
        <v>662</v>
      </c>
      <c r="F48" s="758" t="e">
        <f>B37+(Calcul!C75+Calcul!F75)/LCB</f>
        <v>#N/A</v>
      </c>
      <c r="G48" s="752">
        <f>HLOOKUP($C$6,refdata,57,FALSE)</f>
        <v>178.086</v>
      </c>
      <c r="H48" s="759" t="e">
        <f t="shared" si="0"/>
        <v>#N/A</v>
      </c>
      <c r="J48" s="769"/>
      <c r="K48" s="769"/>
    </row>
    <row r="49" spans="1:11" s="15" customFormat="1" ht="12.75" customHeight="1">
      <c r="A49" s="664" t="s">
        <v>638</v>
      </c>
      <c r="B49" s="665" t="e">
        <f>'Edition 1'!B49</f>
        <v>#DIV/0!</v>
      </c>
      <c r="C49" s="666">
        <f>HLOOKUP($C$6,refdata,43,FALSE)</f>
        <v>9.961</v>
      </c>
      <c r="E49" s="771" t="s">
        <v>663</v>
      </c>
      <c r="F49" s="751" t="e">
        <f>F47-F48</f>
        <v>#DIV/0!</v>
      </c>
      <c r="G49" s="752">
        <f>HLOOKUP($C$6,refdata,58,FALSE)</f>
        <v>148.663</v>
      </c>
      <c r="H49" s="768" t="e">
        <f t="shared" si="0"/>
        <v>#DIV/0!</v>
      </c>
      <c r="J49" s="769"/>
      <c r="K49" s="769"/>
    </row>
    <row r="50" spans="1:11" s="15" customFormat="1" ht="12.75" customHeight="1">
      <c r="A50" s="772" t="s">
        <v>639</v>
      </c>
      <c r="B50" s="682" t="e">
        <f>ANICAP/LCB</f>
        <v>#DIV/0!</v>
      </c>
      <c r="C50" s="773">
        <f>HLOOKUP($C$6,refdata,44,FALSE)</f>
        <v>0</v>
      </c>
      <c r="E50" s="771" t="s">
        <v>664</v>
      </c>
      <c r="F50" s="751" t="e">
        <f>F49*Cuisine!C44</f>
        <v>#DIV/0!</v>
      </c>
      <c r="G50" s="774">
        <f>G49*Cuisine!D44</f>
        <v>23615.807599991454</v>
      </c>
      <c r="H50" s="768" t="e">
        <f t="shared" si="0"/>
        <v>#DIV/0!</v>
      </c>
      <c r="J50" s="769"/>
      <c r="K50" s="769"/>
    </row>
    <row r="51" spans="1:11" s="15" customFormat="1" ht="12.75" customHeight="1">
      <c r="A51" s="673" t="s">
        <v>414</v>
      </c>
      <c r="B51" s="620" t="e">
        <f>'Edition 1'!B51</f>
        <v>#DIV/0!</v>
      </c>
      <c r="C51" s="621">
        <f>HLOOKUP($C$6,refdata,45,FALSE)</f>
        <v>20.313</v>
      </c>
      <c r="E51" s="771" t="s">
        <v>665</v>
      </c>
      <c r="F51" s="751" t="e">
        <f>F50-SUM(B53:B54)*Cuisine!C44</f>
        <v>#DIV/0!</v>
      </c>
      <c r="G51" s="774">
        <f>G50-SUM(C53:C54)*Cuisine!D44</f>
        <v>4317.351452295243</v>
      </c>
      <c r="H51" s="768" t="e">
        <f t="shared" si="0"/>
        <v>#DIV/0!</v>
      </c>
      <c r="J51" s="769"/>
      <c r="K51" s="769"/>
    </row>
    <row r="52" spans="1:11" s="15" customFormat="1" ht="24" customHeight="1">
      <c r="A52" s="674" t="s">
        <v>640</v>
      </c>
      <c r="B52" s="620" t="e">
        <f>B53+B54</f>
        <v>#DIV/0!</v>
      </c>
      <c r="C52" s="621">
        <f>C53+C54</f>
        <v>121.485</v>
      </c>
      <c r="E52" s="775" t="str">
        <f>"Prix de fonctionnement pour  "&amp;F16&amp;" SMIC/UMO expl  (à indiquer en F16)"</f>
        <v>Prix de fonctionnement pour  2 SMIC/UMO expl  (à indiquer en F16)</v>
      </c>
      <c r="F52" s="776" t="e">
        <f>F53-B49-B51-B52</f>
        <v>#DIV/0!</v>
      </c>
      <c r="G52" s="777">
        <f>G53-C49-C51-C52</f>
        <v>661.134</v>
      </c>
      <c r="H52" s="778" t="e">
        <f t="shared" si="0"/>
        <v>#DIV/0!</v>
      </c>
      <c r="J52" s="769"/>
      <c r="K52" s="779"/>
    </row>
    <row r="53" spans="1:11" s="11" customFormat="1" ht="12.75" customHeight="1">
      <c r="A53" s="677" t="s">
        <v>642</v>
      </c>
      <c r="B53" s="678" t="e">
        <f>'Edition 1'!B53</f>
        <v>#DIV/0!</v>
      </c>
      <c r="C53" s="679">
        <f>HLOOKUP($C$6,refdata,46,FALSE)</f>
        <v>76.065</v>
      </c>
      <c r="E53" s="15" t="s">
        <v>666</v>
      </c>
      <c r="F53" s="780" t="e">
        <f>B9-B37-B38-B42-B43+F48</f>
        <v>#DIV/0!</v>
      </c>
      <c r="G53" s="781">
        <f>C9-C37-C38-C42-C43+G48</f>
        <v>812.893</v>
      </c>
      <c r="H53" s="15"/>
      <c r="J53" s="763"/>
      <c r="K53" s="782"/>
    </row>
    <row r="54" spans="1:11" s="48" customFormat="1" ht="27" customHeight="1">
      <c r="A54" s="681" t="s">
        <v>643</v>
      </c>
      <c r="B54" s="678" t="e">
        <f>'Edition 1'!B54</f>
        <v>#DIV/0!</v>
      </c>
      <c r="C54" s="669">
        <f>HLOOKUP($C$6,refdata,47,FALSE)</f>
        <v>45.42</v>
      </c>
      <c r="E54" s="783" t="s">
        <v>667</v>
      </c>
      <c r="F54" s="784" t="e">
        <f>((B47-F53+B44)*Cuisine!C44)/SMIC</f>
        <v>#DIV/0!</v>
      </c>
      <c r="G54" s="785">
        <f>((C47-G53+C44)*Cuisine!D44)/SMIC</f>
        <v>1.7135756679543246</v>
      </c>
      <c r="J54" s="703"/>
      <c r="K54" s="47"/>
    </row>
    <row r="55" spans="1:11" s="15" customFormat="1" ht="12.75" customHeight="1">
      <c r="A55" s="683"/>
      <c r="B55" s="684"/>
      <c r="C55" s="684"/>
      <c r="D55" s="685"/>
      <c r="I55" s="685"/>
      <c r="J55" s="769"/>
      <c r="K55" s="769"/>
    </row>
    <row r="56" spans="1:11" s="291" customFormat="1" ht="15" customHeight="1">
      <c r="A56" s="686" t="s">
        <v>668</v>
      </c>
      <c r="B56" s="687"/>
      <c r="C56" s="687"/>
      <c r="D56" s="691"/>
      <c r="E56" s="599" t="s">
        <v>669</v>
      </c>
      <c r="F56" s="786"/>
      <c r="G56" s="786"/>
      <c r="H56" s="786"/>
      <c r="I56" s="691"/>
      <c r="J56" s="787"/>
      <c r="K56" s="769"/>
    </row>
    <row r="57" spans="1:11" s="291" customFormat="1" ht="12.75" customHeight="1">
      <c r="A57" s="688" t="s">
        <v>645</v>
      </c>
      <c r="B57" s="689" t="e">
        <f>B47-B9+B44</f>
        <v>#DIV/0!</v>
      </c>
      <c r="C57" s="690">
        <f>C47-C9+C44</f>
        <v>235.0299999999999</v>
      </c>
      <c r="D57" s="691"/>
      <c r="E57" s="788" t="s">
        <v>670</v>
      </c>
      <c r="F57" s="789" t="e">
        <f>(Calcul!B14+PEX+AIDEX)/(UMOns+UMOs)</f>
        <v>#DIV/0!</v>
      </c>
      <c r="G57" s="790">
        <f>HLOOKUP($C$6,refdata,60,FALSE)</f>
        <v>106197.1</v>
      </c>
      <c r="H57" s="768" t="e">
        <f>IF(G57&lt;&gt;"",(F57-G57)/G57,"")</f>
        <v>#DIV/0!</v>
      </c>
      <c r="I57" s="691"/>
      <c r="J57" s="787"/>
      <c r="K57" s="769"/>
    </row>
    <row r="58" spans="1:11" s="15" customFormat="1" ht="12.75" customHeight="1">
      <c r="A58" s="1385" t="s">
        <v>671</v>
      </c>
      <c r="B58" s="1391" t="e">
        <f>B57*Cuisine!C44/SMIC</f>
        <v>#DIV/0!</v>
      </c>
      <c r="C58" s="1387">
        <f>HLOOKUP('Edition 2'!$C$6,refdata,51,FALSE)</f>
        <v>1.7065950875698275</v>
      </c>
      <c r="D58" s="685"/>
      <c r="E58" s="791" t="s">
        <v>672</v>
      </c>
      <c r="F58" s="792" t="e">
        <f>EBE/(Calcul!B14+PEX+AIDEX)</f>
        <v>#DIV/0!</v>
      </c>
      <c r="G58" s="793">
        <f>HLOOKUP($C$6,refdata,61,FALSE)</f>
        <v>0.39380001068115233</v>
      </c>
      <c r="H58" s="794" t="e">
        <f>IF(G58&lt;&gt;"",(F58-G58)/G58,"")</f>
        <v>#DIV/0!</v>
      </c>
      <c r="I58" s="685"/>
      <c r="J58" s="769"/>
      <c r="K58" s="769"/>
    </row>
    <row r="59" spans="1:11" s="15" customFormat="1" ht="12.75" customHeight="1">
      <c r="A59" s="1385"/>
      <c r="B59" s="1391"/>
      <c r="C59" s="1387"/>
      <c r="D59" s="685"/>
      <c r="E59" s="788" t="s">
        <v>673</v>
      </c>
      <c r="F59" s="789" t="e">
        <f>EBE/(UMOns)</f>
        <v>#DIV/0!</v>
      </c>
      <c r="G59" s="790">
        <f>HLOOKUP($C$6,refdata,62,FALSE)</f>
        <v>41824.07</v>
      </c>
      <c r="H59" s="753" t="e">
        <f>IF(G59&lt;&gt;"",(F59-G59)/G59,"")</f>
        <v>#DIV/0!</v>
      </c>
      <c r="I59" s="685"/>
      <c r="J59" s="769"/>
      <c r="K59" s="769"/>
    </row>
    <row r="60" spans="1:11" s="685" customFormat="1" ht="12.75" customHeight="1">
      <c r="A60" s="1381" t="s">
        <v>647</v>
      </c>
      <c r="B60" s="1382" t="e">
        <f>UMOns*((Calcul!C68+Calcul!F68)/Calcul!B68)+IF(UMOs&gt;0,UMOs*((Calcul!C60+Calcul!F60)/Calcul!B60),0)</f>
        <v>#N/A</v>
      </c>
      <c r="C60" s="1383">
        <f>HLOOKUP('Edition 2'!$C$6,refdata,49,FALSE)</f>
        <v>1</v>
      </c>
      <c r="E60" s="791" t="s">
        <v>674</v>
      </c>
      <c r="F60" s="792" t="e">
        <f>(REMB+FFIN)/(Calcul!B14+PEX+AIDEX)</f>
        <v>#DIV/0!</v>
      </c>
      <c r="G60" s="793">
        <f>HLOOKUP($C$6,refdata,63,FALSE)</f>
        <v>0.21459999084472656</v>
      </c>
      <c r="H60" s="794" t="e">
        <f>IF(G60&lt;&gt;"",(F60-G60)/G60,"")</f>
        <v>#DIV/0!</v>
      </c>
      <c r="J60" s="769"/>
      <c r="K60" s="769"/>
    </row>
    <row r="61" spans="1:11" s="685" customFormat="1" ht="12.75" customHeight="1">
      <c r="A61" s="1381"/>
      <c r="B61" s="1382"/>
      <c r="C61" s="1383"/>
      <c r="E61" s="771" t="s">
        <v>675</v>
      </c>
      <c r="F61" s="789" t="e">
        <f>(EBE-(REMB+FFIN))/(UMOns)</f>
        <v>#DIV/0!</v>
      </c>
      <c r="G61" s="790">
        <f>HLOOKUP($C$6,refdata,64,FALSE)</f>
        <v>19029.07</v>
      </c>
      <c r="H61" s="768" t="e">
        <f>IF(G61&lt;&gt;"",(F61-G61)/G61,"")</f>
        <v>#DIV/0!</v>
      </c>
      <c r="J61" s="769"/>
      <c r="K61" s="779"/>
    </row>
    <row r="62" spans="1:11" s="685" customFormat="1" ht="12.75" customHeight="1">
      <c r="A62" s="1385" t="s">
        <v>648</v>
      </c>
      <c r="B62" s="1386" t="e">
        <f>LCB/B60</f>
        <v>#N/A</v>
      </c>
      <c r="C62" s="1387">
        <f>HLOOKUP('Edition 2'!$C$6,refdata,50,FALSE)</f>
        <v>128</v>
      </c>
      <c r="D62" s="795"/>
      <c r="E62" s="771"/>
      <c r="F62" s="789"/>
      <c r="G62" s="790"/>
      <c r="H62" s="768"/>
      <c r="J62" s="769"/>
      <c r="K62" s="779"/>
    </row>
    <row r="63" spans="1:11" s="797" customFormat="1" ht="29.25" customHeight="1">
      <c r="A63" s="1385"/>
      <c r="B63" s="1386"/>
      <c r="C63" s="1387"/>
      <c r="D63" s="796"/>
      <c r="J63" s="703"/>
      <c r="K63" s="47"/>
    </row>
    <row r="64" spans="1:11" s="797" customFormat="1" ht="27" customHeight="1">
      <c r="A64" s="691"/>
      <c r="B64" s="691"/>
      <c r="C64" s="691"/>
      <c r="D64" s="798"/>
      <c r="E64" s="685"/>
      <c r="F64" s="685"/>
      <c r="G64" s="685"/>
      <c r="H64" s="15"/>
      <c r="J64" s="703"/>
      <c r="K64" s="47"/>
    </row>
    <row r="65" spans="4:11" s="797" customFormat="1" ht="13.5" customHeight="1">
      <c r="D65" s="799"/>
      <c r="E65" s="397"/>
      <c r="F65" s="397"/>
      <c r="G65" s="800"/>
      <c r="H65" s="801"/>
      <c r="J65" s="703"/>
      <c r="K65" s="47"/>
    </row>
    <row r="66" spans="1:11" s="685" customFormat="1" ht="10.5" customHeight="1">
      <c r="A66" s="802" t="s">
        <v>676</v>
      </c>
      <c r="B66" s="803"/>
      <c r="C66" s="803"/>
      <c r="D66" s="804"/>
      <c r="E66" s="397"/>
      <c r="F66" s="397"/>
      <c r="G66" s="695"/>
      <c r="H66" s="41"/>
      <c r="J66" s="769"/>
      <c r="K66" s="779"/>
    </row>
    <row r="67" spans="1:11" s="397" customFormat="1" ht="12.75" customHeight="1">
      <c r="A67" s="802" t="s">
        <v>677</v>
      </c>
      <c r="E67" s="685"/>
      <c r="F67" s="804"/>
      <c r="G67" s="804"/>
      <c r="H67" s="15"/>
      <c r="J67" s="749"/>
      <c r="K67" s="42"/>
    </row>
  </sheetData>
  <sheetProtection password="BF82" sheet="1"/>
  <mergeCells count="11">
    <mergeCell ref="C60:C61"/>
    <mergeCell ref="A62:A63"/>
    <mergeCell ref="B62:B63"/>
    <mergeCell ref="C62:C63"/>
    <mergeCell ref="E23:H24"/>
    <mergeCell ref="E43:H43"/>
    <mergeCell ref="A58:A59"/>
    <mergeCell ref="B58:B59"/>
    <mergeCell ref="C58:C59"/>
    <mergeCell ref="A60:A61"/>
    <mergeCell ref="B60:B61"/>
  </mergeCells>
  <dataValidations count="1">
    <dataValidation type="list" allowBlank="1" showErrorMessage="1" sqref="C6">
      <formula1>Référentiel</formula1>
      <formula2>0</formula2>
    </dataValidation>
  </dataValidations>
  <printOptions horizontalCentered="1"/>
  <pageMargins left="0.39375" right="0.39375" top="0.39375" bottom="0.39375" header="0.5118055555555555" footer="0.5118055555555555"/>
  <pageSetup fitToHeight="1" fitToWidth="1" horizontalDpi="300" verticalDpi="300" orientation="portrait" paperSize="9"/>
  <drawing r:id="rId1"/>
</worksheet>
</file>

<file path=xl/worksheets/sheet9.xml><?xml version="1.0" encoding="utf-8"?>
<worksheet xmlns="http://schemas.openxmlformats.org/spreadsheetml/2006/main" xmlns:r="http://schemas.openxmlformats.org/officeDocument/2006/relationships">
  <sheetPr>
    <pageSetUpPr fitToPage="1"/>
  </sheetPr>
  <dimension ref="A2:P75"/>
  <sheetViews>
    <sheetView zoomScalePageLayoutView="0" workbookViewId="0" topLeftCell="A6">
      <selection activeCell="G6" sqref="G6"/>
    </sheetView>
  </sheetViews>
  <sheetFormatPr defaultColWidth="11.421875" defaultRowHeight="15" customHeight="1"/>
  <cols>
    <col min="1" max="1" width="2.421875" style="576" customWidth="1"/>
    <col min="2" max="2" width="7.57421875" style="268" customWidth="1"/>
    <col min="3" max="3" width="9.140625" style="268" customWidth="1"/>
    <col min="4" max="4" width="1.8515625" style="344" customWidth="1"/>
    <col min="5" max="5" width="33.00390625" style="502" customWidth="1"/>
    <col min="6" max="6" width="10.140625" style="344" customWidth="1"/>
    <col min="7" max="7" width="9.7109375" style="344" customWidth="1"/>
    <col min="8" max="8" width="3.140625" style="268" customWidth="1"/>
    <col min="9" max="9" width="34.57421875" style="268" customWidth="1"/>
    <col min="10" max="10" width="11.57421875" style="268" customWidth="1"/>
    <col min="11" max="11" width="11.421875" style="268" customWidth="1"/>
    <col min="12" max="12" width="9.7109375" style="268" customWidth="1"/>
    <col min="13" max="13" width="11.421875" style="268" customWidth="1"/>
    <col min="14" max="14" width="6.28125" style="268" customWidth="1"/>
    <col min="15" max="15" width="6.00390625" style="268" customWidth="1"/>
    <col min="16" max="16384" width="11.421875" style="268" customWidth="1"/>
  </cols>
  <sheetData>
    <row r="2" spans="5:7" ht="18" customHeight="1">
      <c r="E2" s="504"/>
      <c r="G2" s="317"/>
    </row>
    <row r="3" ht="12" customHeight="1"/>
    <row r="4" spans="2:16" ht="23.25" customHeight="1">
      <c r="B4" s="1410" t="s">
        <v>678</v>
      </c>
      <c r="C4" s="1410"/>
      <c r="F4" s="368"/>
      <c r="I4" s="575"/>
      <c r="K4" s="576" t="s">
        <v>599</v>
      </c>
      <c r="L4" s="805">
        <f>DATEVER</f>
        <v>43515</v>
      </c>
      <c r="P4" s="578"/>
    </row>
    <row r="5" spans="2:12" ht="18" customHeight="1">
      <c r="B5" s="1410"/>
      <c r="C5" s="1410"/>
      <c r="E5" s="579">
        <f>IF(EXP&lt;&gt;"",EXP,"")</f>
      </c>
      <c r="F5" s="806" t="s">
        <v>600</v>
      </c>
      <c r="G5" s="581" t="s">
        <v>45</v>
      </c>
      <c r="I5" s="807"/>
      <c r="J5" s="808"/>
      <c r="K5" s="808"/>
      <c r="L5" s="809" t="s">
        <v>45</v>
      </c>
    </row>
    <row r="6" spans="2:11" ht="26.25" customHeight="1">
      <c r="B6" s="1410"/>
      <c r="C6" s="1410"/>
      <c r="E6" s="519"/>
      <c r="F6" s="810" t="str">
        <f>"RESULTAT  "&amp;CAMP</f>
        <v>RESULTAT  2019</v>
      </c>
      <c r="G6" s="811">
        <v>2014</v>
      </c>
      <c r="I6" s="812"/>
      <c r="J6" s="578"/>
      <c r="K6" s="813"/>
    </row>
    <row r="7" spans="2:7" ht="16.5" customHeight="1">
      <c r="B7" s="1410"/>
      <c r="C7" s="1410"/>
      <c r="E7" s="593" t="s">
        <v>606</v>
      </c>
      <c r="F7" s="401"/>
      <c r="G7" s="401"/>
    </row>
    <row r="8" spans="5:7" ht="3" customHeight="1">
      <c r="E8" s="593"/>
      <c r="F8" s="401"/>
      <c r="G8" s="401"/>
    </row>
    <row r="9" spans="1:12" s="48" customFormat="1" ht="15.75" customHeight="1">
      <c r="A9" s="576"/>
      <c r="D9" s="814"/>
      <c r="E9" s="594" t="s">
        <v>607</v>
      </c>
      <c r="F9" s="595" t="e">
        <f>F41+F38+F10</f>
        <v>#DIV/0!</v>
      </c>
      <c r="G9" s="595" t="e">
        <f>G41+G38+G10</f>
        <v>#DIV/0!</v>
      </c>
      <c r="I9" s="815" t="s">
        <v>679</v>
      </c>
      <c r="J9" s="597" t="s">
        <v>680</v>
      </c>
      <c r="K9" s="816" t="s">
        <v>45</v>
      </c>
      <c r="L9" s="817" t="s">
        <v>681</v>
      </c>
    </row>
    <row r="10" spans="1:14" s="303" customFormat="1" ht="15" customHeight="1">
      <c r="A10" s="818"/>
      <c r="B10" s="819" t="s">
        <v>682</v>
      </c>
      <c r="C10" s="819" t="s">
        <v>683</v>
      </c>
      <c r="D10" s="820"/>
      <c r="E10" s="821" t="s">
        <v>610</v>
      </c>
      <c r="F10" s="822" t="e">
        <f>F11+F14+F18+F21+F24+F29+F33</f>
        <v>#DIV/0!</v>
      </c>
      <c r="G10" s="822" t="e">
        <f>G11+G14+G18+G21+G24+G29+G33</f>
        <v>#DIV/0!</v>
      </c>
      <c r="I10" s="823" t="s">
        <v>684</v>
      </c>
      <c r="J10" s="824">
        <f>CAMP</f>
        <v>2019</v>
      </c>
      <c r="K10" s="825">
        <f>G6</f>
        <v>2014</v>
      </c>
      <c r="L10" s="826" t="str">
        <f>CAMP&amp;"/"&amp;G6</f>
        <v>2019/2014</v>
      </c>
      <c r="N10" s="268"/>
    </row>
    <row r="11" spans="1:14" s="303" customFormat="1" ht="12.75" customHeight="1">
      <c r="A11" s="818"/>
      <c r="D11" s="820"/>
      <c r="E11" s="604" t="s">
        <v>612</v>
      </c>
      <c r="F11" s="605" t="e">
        <f>F12+F13</f>
        <v>#DIV/0!</v>
      </c>
      <c r="G11" s="605" t="e">
        <f>G12+G13</f>
        <v>#DIV/0!</v>
      </c>
      <c r="I11" s="606"/>
      <c r="J11" s="827"/>
      <c r="K11" s="827"/>
      <c r="L11" s="828"/>
      <c r="N11" s="268"/>
    </row>
    <row r="12" spans="1:14" s="303" customFormat="1" ht="12.75" customHeight="1">
      <c r="A12" s="818" t="s">
        <v>539</v>
      </c>
      <c r="B12" s="829"/>
      <c r="C12" s="829"/>
      <c r="D12" s="830"/>
      <c r="E12" s="609" t="s">
        <v>613</v>
      </c>
      <c r="F12" s="610" t="e">
        <f>'Edition 1'!B12</f>
        <v>#DIV/0!</v>
      </c>
      <c r="G12" s="611" t="e">
        <f>F12*(1+B12)*(1+C12)</f>
        <v>#DIV/0!</v>
      </c>
      <c r="I12" s="831" t="s">
        <v>614</v>
      </c>
      <c r="J12" s="832" t="e">
        <f>SUM(J14:J22)</f>
        <v>#DIV/0!</v>
      </c>
      <c r="K12" s="832" t="e">
        <f>SUM(K14:K22)</f>
        <v>#DIV/0!</v>
      </c>
      <c r="L12" s="833" t="e">
        <f>(K12-J12)/J12</f>
        <v>#DIV/0!</v>
      </c>
      <c r="N12" s="268"/>
    </row>
    <row r="13" spans="1:14" s="303" customFormat="1" ht="12.75" customHeight="1">
      <c r="A13" s="818" t="s">
        <v>539</v>
      </c>
      <c r="B13" s="829"/>
      <c r="C13" s="829"/>
      <c r="D13" s="830"/>
      <c r="E13" s="609" t="s">
        <v>230</v>
      </c>
      <c r="F13" s="610" t="e">
        <f>'Edition 1'!B13</f>
        <v>#DIV/0!</v>
      </c>
      <c r="G13" s="611" t="e">
        <f>F13*(1+B13)*(1+C13)</f>
        <v>#DIV/0!</v>
      </c>
      <c r="I13" s="834"/>
      <c r="J13" s="835"/>
      <c r="K13" s="835"/>
      <c r="L13" s="836"/>
      <c r="N13" s="268"/>
    </row>
    <row r="14" spans="1:14" s="303" customFormat="1" ht="12.75" customHeight="1">
      <c r="A14" s="818"/>
      <c r="B14" s="268"/>
      <c r="C14" s="268"/>
      <c r="D14" s="830"/>
      <c r="E14" s="604" t="s">
        <v>615</v>
      </c>
      <c r="F14" s="605" t="e">
        <f>F15+F16+F17</f>
        <v>#DIV/0!</v>
      </c>
      <c r="G14" s="605" t="e">
        <f>G15+G16+G17</f>
        <v>#DIV/0!</v>
      </c>
      <c r="I14" s="643" t="s">
        <v>612</v>
      </c>
      <c r="J14" s="646" t="e">
        <f>F11</f>
        <v>#DIV/0!</v>
      </c>
      <c r="K14" s="837" t="e">
        <f>G11</f>
        <v>#DIV/0!</v>
      </c>
      <c r="L14" s="838" t="e">
        <f aca="true" t="shared" si="0" ref="L14:L22">(K14-J14)/J14</f>
        <v>#DIV/0!</v>
      </c>
      <c r="N14" s="268"/>
    </row>
    <row r="15" spans="1:14" s="303" customFormat="1" ht="12.75" customHeight="1">
      <c r="A15" s="818" t="s">
        <v>539</v>
      </c>
      <c r="B15" s="829"/>
      <c r="C15" s="829"/>
      <c r="D15" s="830"/>
      <c r="E15" s="609" t="s">
        <v>235</v>
      </c>
      <c r="F15" s="610" t="e">
        <f>'Edition 1'!B15</f>
        <v>#DIV/0!</v>
      </c>
      <c r="G15" s="611" t="e">
        <f>F15*(1+B15)*(1+C15)</f>
        <v>#DIV/0!</v>
      </c>
      <c r="I15" s="643" t="s">
        <v>622</v>
      </c>
      <c r="J15" s="646" t="e">
        <f>F14</f>
        <v>#DIV/0!</v>
      </c>
      <c r="K15" s="837" t="e">
        <f>+G14</f>
        <v>#DIV/0!</v>
      </c>
      <c r="L15" s="838" t="e">
        <f t="shared" si="0"/>
        <v>#DIV/0!</v>
      </c>
      <c r="N15" s="268"/>
    </row>
    <row r="16" spans="1:12" s="48" customFormat="1" ht="12.75" customHeight="1">
      <c r="A16" s="576" t="s">
        <v>539</v>
      </c>
      <c r="B16" s="829"/>
      <c r="C16" s="829"/>
      <c r="D16" s="830"/>
      <c r="E16" s="609" t="s">
        <v>242</v>
      </c>
      <c r="F16" s="610" t="e">
        <f>'Edition 1'!B16</f>
        <v>#DIV/0!</v>
      </c>
      <c r="G16" s="611" t="e">
        <f>F16*(1+B16)*(1+C16)</f>
        <v>#DIV/0!</v>
      </c>
      <c r="I16" s="643" t="s">
        <v>428</v>
      </c>
      <c r="J16" s="646" t="e">
        <f>F18</f>
        <v>#DIV/0!</v>
      </c>
      <c r="K16" s="837" t="e">
        <f>G18</f>
        <v>#DIV/0!</v>
      </c>
      <c r="L16" s="838" t="e">
        <f t="shared" si="0"/>
        <v>#DIV/0!</v>
      </c>
    </row>
    <row r="17" spans="1:14" s="303" customFormat="1" ht="12.75" customHeight="1">
      <c r="A17" s="818" t="s">
        <v>539</v>
      </c>
      <c r="B17" s="829"/>
      <c r="C17" s="829"/>
      <c r="D17" s="830"/>
      <c r="E17" s="609" t="s">
        <v>247</v>
      </c>
      <c r="F17" s="610" t="e">
        <f>'Edition 1'!B17</f>
        <v>#DIV/0!</v>
      </c>
      <c r="G17" s="611" t="e">
        <f>F17*(1+B17)*(1+C17)</f>
        <v>#DIV/0!</v>
      </c>
      <c r="H17" s="268"/>
      <c r="I17" s="643" t="s">
        <v>292</v>
      </c>
      <c r="J17" s="646" t="e">
        <f>F34</f>
        <v>#N/A</v>
      </c>
      <c r="K17" s="837" t="e">
        <f>G34</f>
        <v>#N/A</v>
      </c>
      <c r="L17" s="838" t="e">
        <f t="shared" si="0"/>
        <v>#N/A</v>
      </c>
      <c r="N17" s="268"/>
    </row>
    <row r="18" spans="4:15" ht="12.75" customHeight="1">
      <c r="D18" s="830"/>
      <c r="E18" s="604" t="s">
        <v>428</v>
      </c>
      <c r="F18" s="605" t="e">
        <f>F19+F20</f>
        <v>#DIV/0!</v>
      </c>
      <c r="G18" s="605" t="e">
        <f>G19+G20</f>
        <v>#DIV/0!</v>
      </c>
      <c r="I18" s="643" t="s">
        <v>620</v>
      </c>
      <c r="J18" s="646" t="e">
        <f>F21</f>
        <v>#DIV/0!</v>
      </c>
      <c r="K18" s="837" t="e">
        <f>G21</f>
        <v>#DIV/0!</v>
      </c>
      <c r="L18" s="838" t="e">
        <f t="shared" si="0"/>
        <v>#DIV/0!</v>
      </c>
      <c r="O18" s="303"/>
    </row>
    <row r="19" spans="1:15" ht="12.75" customHeight="1">
      <c r="A19" s="576" t="s">
        <v>539</v>
      </c>
      <c r="B19" s="829"/>
      <c r="C19" s="829"/>
      <c r="D19" s="830"/>
      <c r="E19" s="609" t="s">
        <v>252</v>
      </c>
      <c r="F19" s="610" t="e">
        <f>'Edition 1'!B19</f>
        <v>#DIV/0!</v>
      </c>
      <c r="G19" s="611" t="e">
        <f>F19*(1+B19)*(1+C19)</f>
        <v>#DIV/0!</v>
      </c>
      <c r="I19" s="643" t="s">
        <v>619</v>
      </c>
      <c r="J19" s="839" t="e">
        <f>F24+F39</f>
        <v>#N/A</v>
      </c>
      <c r="K19" s="840" t="e">
        <f>G24+G39</f>
        <v>#N/A</v>
      </c>
      <c r="L19" s="838" t="e">
        <f t="shared" si="0"/>
        <v>#N/A</v>
      </c>
      <c r="O19" s="303"/>
    </row>
    <row r="20" spans="1:15" ht="12.75" customHeight="1">
      <c r="A20" s="576" t="s">
        <v>539</v>
      </c>
      <c r="B20" s="829"/>
      <c r="C20" s="829"/>
      <c r="D20" s="830"/>
      <c r="E20" s="609" t="s">
        <v>258</v>
      </c>
      <c r="F20" s="610" t="e">
        <f>'Edition 1'!B20</f>
        <v>#DIV/0!</v>
      </c>
      <c r="G20" s="611" t="e">
        <f>F20*(1+B20)*(1+C20)</f>
        <v>#DIV/0!</v>
      </c>
      <c r="I20" s="643" t="s">
        <v>618</v>
      </c>
      <c r="J20" s="839" t="e">
        <f>F29+F40</f>
        <v>#N/A</v>
      </c>
      <c r="K20" s="840" t="e">
        <f>G29+G40</f>
        <v>#N/A</v>
      </c>
      <c r="L20" s="838" t="e">
        <f t="shared" si="0"/>
        <v>#N/A</v>
      </c>
      <c r="O20" s="303"/>
    </row>
    <row r="21" spans="2:15" ht="12.75" customHeight="1">
      <c r="B21" s="841"/>
      <c r="C21" s="841"/>
      <c r="D21" s="830"/>
      <c r="E21" s="604" t="s">
        <v>621</v>
      </c>
      <c r="F21" s="605" t="e">
        <f>F22+F23</f>
        <v>#DIV/0!</v>
      </c>
      <c r="G21" s="605" t="e">
        <f>G22+G23</f>
        <v>#DIV/0!</v>
      </c>
      <c r="I21" s="643" t="s">
        <v>617</v>
      </c>
      <c r="J21" s="646" t="e">
        <f>F42+F43+F35+F37</f>
        <v>#DIV/0!</v>
      </c>
      <c r="K21" s="840" t="e">
        <f>G42+G43+G35+G37</f>
        <v>#DIV/0!</v>
      </c>
      <c r="L21" s="838" t="e">
        <f t="shared" si="0"/>
        <v>#DIV/0!</v>
      </c>
      <c r="O21" s="303"/>
    </row>
    <row r="22" spans="1:15" ht="12.75" customHeight="1">
      <c r="A22" s="576" t="s">
        <v>539</v>
      </c>
      <c r="B22" s="829"/>
      <c r="C22" s="829"/>
      <c r="D22" s="830"/>
      <c r="E22" s="609" t="s">
        <v>623</v>
      </c>
      <c r="F22" s="610" t="e">
        <f>'Edition 1'!B22</f>
        <v>#DIV/0!</v>
      </c>
      <c r="G22" s="611" t="e">
        <f>F22*(1+B22)*(1+C22)</f>
        <v>#DIV/0!</v>
      </c>
      <c r="I22" s="643" t="s">
        <v>616</v>
      </c>
      <c r="J22" s="839" t="e">
        <f>F44+F36</f>
        <v>#N/A</v>
      </c>
      <c r="K22" s="840" t="e">
        <f>G44+G36</f>
        <v>#N/A</v>
      </c>
      <c r="L22" s="838" t="e">
        <f t="shared" si="0"/>
        <v>#N/A</v>
      </c>
      <c r="O22" s="303"/>
    </row>
    <row r="23" spans="1:12" ht="12.75" customHeight="1">
      <c r="A23" s="576" t="s">
        <v>539</v>
      </c>
      <c r="B23" s="829"/>
      <c r="C23" s="829"/>
      <c r="D23" s="830"/>
      <c r="E23" s="609" t="s">
        <v>624</v>
      </c>
      <c r="F23" s="610" t="e">
        <f>'Edition 1'!B23</f>
        <v>#DIV/0!</v>
      </c>
      <c r="G23" s="611" t="e">
        <f>F23*(1+B23)*(1+C23)</f>
        <v>#DIV/0!</v>
      </c>
      <c r="I23" s="676"/>
      <c r="J23" s="842"/>
      <c r="K23" s="843"/>
      <c r="L23" s="844"/>
    </row>
    <row r="24" spans="4:12" ht="12.75" customHeight="1">
      <c r="D24" s="830"/>
      <c r="E24" s="604" t="s">
        <v>685</v>
      </c>
      <c r="F24" s="605" t="e">
        <f>F25+F26+F27+F28</f>
        <v>#N/A</v>
      </c>
      <c r="G24" s="605" t="e">
        <f>G25+G26+G27+G28</f>
        <v>#N/A</v>
      </c>
      <c r="I24" s="831" t="s">
        <v>626</v>
      </c>
      <c r="J24" s="832" t="e">
        <f>SUM(J26:J28)</f>
        <v>#DIV/0!</v>
      </c>
      <c r="K24" s="832" t="e">
        <f>SUM(K26:K28)</f>
        <v>#DIV/0!</v>
      </c>
      <c r="L24" s="833" t="e">
        <f>(K24-J24)/J24</f>
        <v>#DIV/0!</v>
      </c>
    </row>
    <row r="25" spans="1:12" ht="12.75" customHeight="1">
      <c r="A25" s="576" t="s">
        <v>539</v>
      </c>
      <c r="B25" s="829"/>
      <c r="C25" s="829"/>
      <c r="D25" s="830"/>
      <c r="E25" s="609" t="s">
        <v>337</v>
      </c>
      <c r="F25" s="610" t="e">
        <f>'Edition 1'!B25</f>
        <v>#N/A</v>
      </c>
      <c r="G25" s="611" t="e">
        <f>F25*(1+B25)*(1+C25)</f>
        <v>#N/A</v>
      </c>
      <c r="I25" s="834"/>
      <c r="J25" s="835"/>
      <c r="K25" s="835"/>
      <c r="L25" s="836"/>
    </row>
    <row r="26" spans="1:12" ht="12.75" customHeight="1">
      <c r="A26" s="576" t="s">
        <v>539</v>
      </c>
      <c r="B26" s="829"/>
      <c r="C26" s="829"/>
      <c r="D26" s="830"/>
      <c r="E26" s="609" t="s">
        <v>273</v>
      </c>
      <c r="F26" s="610" t="e">
        <f>'Edition 1'!B26</f>
        <v>#N/A</v>
      </c>
      <c r="G26" s="611" t="e">
        <f>F26*(1+B26)*(1+C26)</f>
        <v>#N/A</v>
      </c>
      <c r="I26" s="643" t="s">
        <v>475</v>
      </c>
      <c r="J26" s="646">
        <f>F48</f>
        <v>0</v>
      </c>
      <c r="K26" s="837">
        <f>G48</f>
        <v>0</v>
      </c>
      <c r="L26" s="838" t="e">
        <f>(K26-J26)/J26</f>
        <v>#DIV/0!</v>
      </c>
    </row>
    <row r="27" spans="1:13" ht="12.75" customHeight="1">
      <c r="A27" s="576" t="s">
        <v>539</v>
      </c>
      <c r="B27" s="829"/>
      <c r="C27" s="829"/>
      <c r="D27" s="830"/>
      <c r="E27" s="609" t="s">
        <v>276</v>
      </c>
      <c r="F27" s="610" t="e">
        <f>'Edition 1'!B27</f>
        <v>#N/A</v>
      </c>
      <c r="G27" s="611" t="e">
        <f>F27*(1+B27)*(1+C27)</f>
        <v>#N/A</v>
      </c>
      <c r="I27" s="643" t="s">
        <v>686</v>
      </c>
      <c r="J27" s="646" t="e">
        <f>F49</f>
        <v>#DIV/0!</v>
      </c>
      <c r="K27" s="837" t="e">
        <f>G49</f>
        <v>#DIV/0!</v>
      </c>
      <c r="L27" s="838" t="e">
        <f>(K27-J27)/J27</f>
        <v>#DIV/0!</v>
      </c>
      <c r="M27" s="41"/>
    </row>
    <row r="28" spans="1:12" ht="12.75" customHeight="1">
      <c r="A28" s="576" t="s">
        <v>539</v>
      </c>
      <c r="B28" s="829"/>
      <c r="C28" s="829"/>
      <c r="D28" s="830"/>
      <c r="E28" s="609" t="s">
        <v>629</v>
      </c>
      <c r="F28" s="610" t="e">
        <f>'Edition 1'!B28</f>
        <v>#N/A</v>
      </c>
      <c r="G28" s="611" t="e">
        <f>F28*(1+B28)*(1+C28)</f>
        <v>#N/A</v>
      </c>
      <c r="I28" s="643" t="s">
        <v>687</v>
      </c>
      <c r="J28" s="646" t="e">
        <f>SUM(F51:F53)</f>
        <v>#DIV/0!</v>
      </c>
      <c r="K28" s="837" t="e">
        <f>SUM(G51:G53)</f>
        <v>#DIV/0!</v>
      </c>
      <c r="L28" s="838" t="e">
        <f>(K28-J28)/J28</f>
        <v>#DIV/0!</v>
      </c>
    </row>
    <row r="29" spans="4:13" ht="13.5" customHeight="1">
      <c r="D29" s="830"/>
      <c r="E29" s="604" t="s">
        <v>688</v>
      </c>
      <c r="F29" s="605" t="e">
        <f>F30+F31+F32</f>
        <v>#N/A</v>
      </c>
      <c r="G29" s="605" t="e">
        <f>G30+G31+G32</f>
        <v>#N/A</v>
      </c>
      <c r="I29" s="676"/>
      <c r="J29" s="676"/>
      <c r="K29" s="676"/>
      <c r="L29" s="676"/>
      <c r="M29" s="48"/>
    </row>
    <row r="30" spans="1:13" ht="12.75" customHeight="1">
      <c r="A30" s="576" t="s">
        <v>539</v>
      </c>
      <c r="B30" s="829"/>
      <c r="C30" s="829"/>
      <c r="D30" s="830"/>
      <c r="E30" s="609" t="s">
        <v>281</v>
      </c>
      <c r="F30" s="610" t="e">
        <f>'Edition 1'!B30</f>
        <v>#N/A</v>
      </c>
      <c r="G30" s="611" t="e">
        <f>F30*(1+B30)*(1+C30)</f>
        <v>#N/A</v>
      </c>
      <c r="I30" s="1411" t="s">
        <v>689</v>
      </c>
      <c r="J30" s="1411"/>
      <c r="K30" s="1411"/>
      <c r="L30" s="1411"/>
      <c r="M30" s="48"/>
    </row>
    <row r="31" spans="1:13" ht="12.75" customHeight="1">
      <c r="A31" s="576" t="s">
        <v>539</v>
      </c>
      <c r="B31" s="829"/>
      <c r="C31" s="829"/>
      <c r="D31" s="830"/>
      <c r="E31" s="609" t="s">
        <v>284</v>
      </c>
      <c r="F31" s="610" t="e">
        <f>'Edition 1'!B31</f>
        <v>#N/A</v>
      </c>
      <c r="G31" s="611" t="e">
        <f>F31*(1+B31)*(1+C31)</f>
        <v>#N/A</v>
      </c>
      <c r="I31" s="1411"/>
      <c r="J31" s="1411"/>
      <c r="K31" s="1411"/>
      <c r="L31" s="1411"/>
      <c r="M31" s="48"/>
    </row>
    <row r="32" spans="1:13" ht="12.75" customHeight="1">
      <c r="A32" s="576" t="s">
        <v>539</v>
      </c>
      <c r="B32" s="829"/>
      <c r="C32" s="829"/>
      <c r="D32" s="830"/>
      <c r="E32" s="609" t="s">
        <v>288</v>
      </c>
      <c r="F32" s="610" t="e">
        <f>'Edition 1'!B32</f>
        <v>#N/A</v>
      </c>
      <c r="G32" s="611" t="e">
        <f>F32*(1+B32)*(1+C32)</f>
        <v>#N/A</v>
      </c>
      <c r="I32" s="744"/>
      <c r="J32" s="676"/>
      <c r="K32" s="676"/>
      <c r="L32" s="745"/>
      <c r="M32" s="48"/>
    </row>
    <row r="33" spans="4:13" ht="12.75" customHeight="1">
      <c r="D33" s="830"/>
      <c r="E33" s="604" t="s">
        <v>438</v>
      </c>
      <c r="F33" s="605" t="e">
        <f>F34+F35+F36+F37</f>
        <v>#N/A</v>
      </c>
      <c r="G33" s="605" t="e">
        <f>G34+G35+G36+G37</f>
        <v>#N/A</v>
      </c>
      <c r="I33" s="744"/>
      <c r="J33" s="676"/>
      <c r="K33" s="676"/>
      <c r="L33" s="745"/>
      <c r="M33" s="48"/>
    </row>
    <row r="34" spans="1:13" ht="12.75" customHeight="1">
      <c r="A34" s="576" t="s">
        <v>539</v>
      </c>
      <c r="B34" s="829"/>
      <c r="C34" s="829"/>
      <c r="D34" s="830"/>
      <c r="E34" s="609" t="s">
        <v>292</v>
      </c>
      <c r="F34" s="610" t="e">
        <f>'Edition 1'!B34</f>
        <v>#N/A</v>
      </c>
      <c r="G34" s="611" t="e">
        <f>F34*(1+B34)*(1+C34)</f>
        <v>#N/A</v>
      </c>
      <c r="I34" s="845"/>
      <c r="J34" s="676"/>
      <c r="K34" s="676"/>
      <c r="L34" s="745"/>
      <c r="M34" s="48"/>
    </row>
    <row r="35" spans="1:13" ht="14.25" customHeight="1">
      <c r="A35" s="576" t="s">
        <v>539</v>
      </c>
      <c r="B35" s="829"/>
      <c r="C35" s="829"/>
      <c r="D35" s="830"/>
      <c r="E35" s="609" t="s">
        <v>690</v>
      </c>
      <c r="F35" s="610" t="e">
        <f>'Edition 1'!B35</f>
        <v>#DIV/0!</v>
      </c>
      <c r="G35" s="611" t="e">
        <f>F35*(1+B35)*(1+C35)</f>
        <v>#DIV/0!</v>
      </c>
      <c r="I35" s="845"/>
      <c r="J35" s="676"/>
      <c r="K35" s="676"/>
      <c r="L35" s="745"/>
      <c r="M35" s="846"/>
    </row>
    <row r="36" spans="1:13" ht="12.75" customHeight="1">
      <c r="A36" s="576" t="s">
        <v>539</v>
      </c>
      <c r="B36" s="829"/>
      <c r="C36" s="829"/>
      <c r="D36" s="830"/>
      <c r="E36" s="609" t="s">
        <v>300</v>
      </c>
      <c r="F36" s="610" t="e">
        <f>'Edition 1'!B36</f>
        <v>#N/A</v>
      </c>
      <c r="G36" s="611" t="e">
        <f>F36*(1+B36)*(1+C36)</f>
        <v>#N/A</v>
      </c>
      <c r="I36" s="845"/>
      <c r="J36" s="676"/>
      <c r="K36" s="676"/>
      <c r="L36" s="745"/>
      <c r="M36" s="41"/>
    </row>
    <row r="37" spans="1:12" ht="15" customHeight="1">
      <c r="A37" s="576" t="s">
        <v>539</v>
      </c>
      <c r="B37" s="829"/>
      <c r="C37" s="829"/>
      <c r="D37" s="830"/>
      <c r="E37" s="609" t="s">
        <v>304</v>
      </c>
      <c r="F37" s="610" t="e">
        <f>'Edition 1'!B37</f>
        <v>#N/A</v>
      </c>
      <c r="G37" s="611" t="e">
        <f>F37*(1+B37)*(1+C37)</f>
        <v>#N/A</v>
      </c>
      <c r="I37" s="847"/>
      <c r="J37" s="578"/>
      <c r="K37" s="578"/>
      <c r="L37" s="743"/>
    </row>
    <row r="38" spans="4:12" ht="14.25" customHeight="1">
      <c r="D38" s="830"/>
      <c r="E38" s="821" t="s">
        <v>632</v>
      </c>
      <c r="F38" s="822" t="e">
        <f>F39+F40</f>
        <v>#N/A</v>
      </c>
      <c r="G38" s="822" t="e">
        <f>G39+G40</f>
        <v>#N/A</v>
      </c>
      <c r="I38" s="848"/>
      <c r="J38" s="849"/>
      <c r="K38" s="849"/>
      <c r="L38" s="850"/>
    </row>
    <row r="39" spans="1:13" ht="14.25" customHeight="1">
      <c r="A39" s="576" t="s">
        <v>539</v>
      </c>
      <c r="B39" s="829"/>
      <c r="C39" s="829"/>
      <c r="D39" s="830"/>
      <c r="E39" s="609" t="s">
        <v>441</v>
      </c>
      <c r="F39" s="646" t="e">
        <f>'Edition 1'!B39</f>
        <v>#N/A</v>
      </c>
      <c r="G39" s="647" t="e">
        <f>F39*(1+B39)*(1+C39)</f>
        <v>#N/A</v>
      </c>
      <c r="I39" s="851"/>
      <c r="J39" s="680"/>
      <c r="K39" s="680"/>
      <c r="L39" s="852"/>
      <c r="M39" s="676"/>
    </row>
    <row r="40" spans="1:12" ht="14.25" customHeight="1">
      <c r="A40" s="576" t="s">
        <v>539</v>
      </c>
      <c r="B40" s="829"/>
      <c r="C40" s="829"/>
      <c r="D40" s="830"/>
      <c r="E40" s="609" t="s">
        <v>618</v>
      </c>
      <c r="F40" s="646" t="e">
        <f>'Edition 1'!B40</f>
        <v>#N/A</v>
      </c>
      <c r="G40" s="647" t="e">
        <f>F40*(1+B40)*(1+C40)</f>
        <v>#N/A</v>
      </c>
      <c r="I40" s="851"/>
      <c r="J40" s="680"/>
      <c r="K40" s="680"/>
      <c r="L40" s="852"/>
    </row>
    <row r="41" spans="4:12" ht="14.25" customHeight="1">
      <c r="D41" s="830"/>
      <c r="E41" s="821" t="s">
        <v>633</v>
      </c>
      <c r="F41" s="822" t="e">
        <f>F42+F43+F44</f>
        <v>#DIV/0!</v>
      </c>
      <c r="G41" s="822" t="e">
        <f>G42+G43+G44</f>
        <v>#DIV/0!</v>
      </c>
      <c r="I41" s="851"/>
      <c r="J41" s="680"/>
      <c r="K41" s="680"/>
      <c r="L41" s="852"/>
    </row>
    <row r="42" spans="1:13" s="48" customFormat="1" ht="14.25" customHeight="1">
      <c r="A42" s="576" t="s">
        <v>539</v>
      </c>
      <c r="B42" s="829"/>
      <c r="C42" s="829"/>
      <c r="D42" s="830"/>
      <c r="E42" s="609" t="s">
        <v>443</v>
      </c>
      <c r="F42" s="646" t="e">
        <f>'Edition 1'!B42</f>
        <v>#DIV/0!</v>
      </c>
      <c r="G42" s="647" t="e">
        <f>F42*(1+B42)*(1+C42)</f>
        <v>#DIV/0!</v>
      </c>
      <c r="I42" s="851"/>
      <c r="J42" s="680"/>
      <c r="K42" s="680"/>
      <c r="L42" s="852"/>
      <c r="M42" s="846"/>
    </row>
    <row r="43" spans="1:13" s="41" customFormat="1" ht="13.5" customHeight="1">
      <c r="A43" s="576" t="s">
        <v>539</v>
      </c>
      <c r="B43" s="829"/>
      <c r="C43" s="829"/>
      <c r="D43" s="830"/>
      <c r="E43" s="609" t="s">
        <v>444</v>
      </c>
      <c r="F43" s="646" t="e">
        <f>'Edition 1'!B43</f>
        <v>#N/A</v>
      </c>
      <c r="G43" s="647" t="e">
        <f>F43*(1+B43)*(1+C43)</f>
        <v>#N/A</v>
      </c>
      <c r="I43" s="851"/>
      <c r="J43" s="680"/>
      <c r="K43" s="680"/>
      <c r="L43" s="852"/>
      <c r="M43" s="19"/>
    </row>
    <row r="44" spans="1:13" s="41" customFormat="1" ht="13.5" customHeight="1">
      <c r="A44" s="576" t="s">
        <v>539</v>
      </c>
      <c r="B44" s="829"/>
      <c r="C44" s="853"/>
      <c r="D44" s="830"/>
      <c r="E44" s="609" t="s">
        <v>691</v>
      </c>
      <c r="F44" s="646" t="e">
        <f>'Edition 1'!B44</f>
        <v>#N/A</v>
      </c>
      <c r="G44" s="647" t="e">
        <f>F44*(1+B44)*(1+C44)</f>
        <v>#N/A</v>
      </c>
      <c r="I44" s="851"/>
      <c r="J44" s="680"/>
      <c r="K44" s="680"/>
      <c r="L44" s="852"/>
      <c r="M44" s="19"/>
    </row>
    <row r="45" spans="1:13" ht="15" customHeight="1">
      <c r="A45" s="576" t="s">
        <v>539</v>
      </c>
      <c r="B45" s="829"/>
      <c r="C45" s="829"/>
      <c r="D45" s="830"/>
      <c r="E45" s="651" t="s">
        <v>635</v>
      </c>
      <c r="F45" s="755" t="e">
        <f>(Calcul!C71+Calcul!F71)/LCB</f>
        <v>#N/A</v>
      </c>
      <c r="G45" s="854" t="e">
        <f>F45*(1+B45)*(1+C45)</f>
        <v>#N/A</v>
      </c>
      <c r="I45" s="855"/>
      <c r="J45" s="747"/>
      <c r="K45" s="747"/>
      <c r="L45" s="748"/>
      <c r="M45" s="15"/>
    </row>
    <row r="46" spans="1:13" s="48" customFormat="1" ht="12.75" customHeight="1">
      <c r="A46" s="576"/>
      <c r="B46" s="830"/>
      <c r="C46" s="830"/>
      <c r="D46" s="55"/>
      <c r="E46" s="856"/>
      <c r="F46" s="857"/>
      <c r="G46" s="857"/>
      <c r="I46" s="41"/>
      <c r="J46" s="41"/>
      <c r="K46" s="41"/>
      <c r="L46" s="41"/>
      <c r="M46" s="268"/>
    </row>
    <row r="47" spans="1:12" s="48" customFormat="1" ht="13.5" customHeight="1">
      <c r="A47" s="576"/>
      <c r="B47" s="830"/>
      <c r="C47" s="830"/>
      <c r="D47" s="55"/>
      <c r="E47" s="594" t="s">
        <v>636</v>
      </c>
      <c r="F47" s="595" t="e">
        <f>F48+F49+F51+F52+F53</f>
        <v>#DIV/0!</v>
      </c>
      <c r="G47" s="595" t="e">
        <f>G48+G49+G51+G52+G53</f>
        <v>#DIV/0!</v>
      </c>
      <c r="I47" s="41"/>
      <c r="J47" s="41"/>
      <c r="K47" s="41"/>
      <c r="L47" s="41"/>
    </row>
    <row r="48" spans="1:12" s="48" customFormat="1" ht="12" customHeight="1">
      <c r="A48" s="576" t="s">
        <v>159</v>
      </c>
      <c r="B48" s="858"/>
      <c r="C48" s="841"/>
      <c r="D48" s="830"/>
      <c r="E48" s="609" t="s">
        <v>637</v>
      </c>
      <c r="F48" s="646">
        <f>'Edition 1'!B48</f>
        <v>0</v>
      </c>
      <c r="G48" s="647">
        <f>F48+B48</f>
        <v>0</v>
      </c>
      <c r="I48" s="1412" t="s">
        <v>692</v>
      </c>
      <c r="J48" s="1412"/>
      <c r="K48" s="1412"/>
      <c r="L48" s="1412"/>
    </row>
    <row r="49" spans="1:12" s="48" customFormat="1" ht="12.75" customHeight="1">
      <c r="A49" s="576" t="s">
        <v>539</v>
      </c>
      <c r="B49" s="829"/>
      <c r="C49" s="829"/>
      <c r="D49" s="830"/>
      <c r="E49" s="859" t="s">
        <v>638</v>
      </c>
      <c r="F49" s="860" t="e">
        <f>'Edition 1'!B49</f>
        <v>#DIV/0!</v>
      </c>
      <c r="G49" s="861" t="e">
        <f>F49*(1+B49)*(1+C49)+(F50-G50)</f>
        <v>#DIV/0!</v>
      </c>
      <c r="I49" s="618" t="s">
        <v>658</v>
      </c>
      <c r="J49" s="862" t="e">
        <f>F47</f>
        <v>#DIV/0!</v>
      </c>
      <c r="K49" s="863" t="e">
        <f>G47</f>
        <v>#DIV/0!</v>
      </c>
      <c r="L49" s="864" t="e">
        <f aca="true" t="shared" si="1" ref="L49:L55">(K49-J49)/J49</f>
        <v>#DIV/0!</v>
      </c>
    </row>
    <row r="50" spans="1:12" s="48" customFormat="1" ht="12.75" customHeight="1">
      <c r="A50" s="576" t="s">
        <v>539</v>
      </c>
      <c r="B50" s="829"/>
      <c r="C50" s="829"/>
      <c r="D50" s="830"/>
      <c r="E50" s="865" t="s">
        <v>693</v>
      </c>
      <c r="F50" s="866" t="e">
        <f>'Edition 1'!B50</f>
        <v>#DIV/0!</v>
      </c>
      <c r="G50" s="867" t="e">
        <f>F50*(1+B50)*(1+C50)</f>
        <v>#DIV/0!</v>
      </c>
      <c r="I50" s="650" t="s">
        <v>456</v>
      </c>
      <c r="J50" s="868" t="e">
        <f>F11+F14+F18</f>
        <v>#DIV/0!</v>
      </c>
      <c r="K50" s="869" t="e">
        <f>G11+G14+G18</f>
        <v>#DIV/0!</v>
      </c>
      <c r="L50" s="870" t="e">
        <f t="shared" si="1"/>
        <v>#DIV/0!</v>
      </c>
    </row>
    <row r="51" spans="1:12" s="48" customFormat="1" ht="15" customHeight="1">
      <c r="A51" s="576" t="s">
        <v>539</v>
      </c>
      <c r="B51" s="829"/>
      <c r="C51" s="829"/>
      <c r="D51" s="830"/>
      <c r="E51" s="609" t="s">
        <v>694</v>
      </c>
      <c r="F51" s="646" t="e">
        <f>'Edition 1'!B51</f>
        <v>#DIV/0!</v>
      </c>
      <c r="G51" s="647" t="e">
        <f>F51*(1+B51)*(1+C51)</f>
        <v>#DIV/0!</v>
      </c>
      <c r="I51" s="762" t="s">
        <v>695</v>
      </c>
      <c r="J51" s="868" t="e">
        <f>F24+F29+F33-F37+G45+((IF/SAU)*(SHCAP+CFCAP+CVCAP)/LCB)</f>
        <v>#N/A</v>
      </c>
      <c r="K51" s="869" t="e">
        <f>G24+G29+G33-G37+G45+((IF/SAU)*(SHCAP+CFCAP+CVCAP)/LCB)</f>
        <v>#N/A</v>
      </c>
      <c r="L51" s="870" t="e">
        <f t="shared" si="1"/>
        <v>#N/A</v>
      </c>
    </row>
    <row r="52" spans="1:13" s="846" customFormat="1" ht="26.25" customHeight="1">
      <c r="A52" s="576" t="s">
        <v>539</v>
      </c>
      <c r="B52" s="829"/>
      <c r="C52" s="829"/>
      <c r="D52" s="830"/>
      <c r="E52" s="609" t="s">
        <v>696</v>
      </c>
      <c r="F52" s="646" t="e">
        <f>'Edition 1'!B53</f>
        <v>#DIV/0!</v>
      </c>
      <c r="G52" s="647" t="e">
        <f>F52*(1+B52)*(1+C52)</f>
        <v>#DIV/0!</v>
      </c>
      <c r="I52" s="871" t="s">
        <v>697</v>
      </c>
      <c r="J52" s="620" t="e">
        <f>J49-J50-J51</f>
        <v>#DIV/0!</v>
      </c>
      <c r="K52" s="872" t="e">
        <f>K49-K50-K51</f>
        <v>#DIV/0!</v>
      </c>
      <c r="L52" s="870" t="e">
        <f t="shared" si="1"/>
        <v>#DIV/0!</v>
      </c>
      <c r="M52" s="48"/>
    </row>
    <row r="53" spans="1:13" s="846" customFormat="1" ht="12" customHeight="1">
      <c r="A53" s="48" t="s">
        <v>539</v>
      </c>
      <c r="B53" s="829"/>
      <c r="C53" s="829"/>
      <c r="D53" s="873"/>
      <c r="E53" s="874" t="s">
        <v>698</v>
      </c>
      <c r="F53" s="875" t="e">
        <f>'Edition 1'!B54</f>
        <v>#DIV/0!</v>
      </c>
      <c r="G53" s="876" t="e">
        <f>F53*(1+B53)*(1+C53)</f>
        <v>#DIV/0!</v>
      </c>
      <c r="H53" s="877"/>
      <c r="I53" s="650" t="s">
        <v>662</v>
      </c>
      <c r="J53" s="868" t="e">
        <f>'Edition 2'!F48</f>
        <v>#N/A</v>
      </c>
      <c r="K53" s="869" t="e">
        <f>J53*(1+B37)*(1+C37)</f>
        <v>#N/A</v>
      </c>
      <c r="L53" s="870" t="e">
        <f t="shared" si="1"/>
        <v>#N/A</v>
      </c>
      <c r="M53" s="48"/>
    </row>
    <row r="54" spans="1:13" s="41" customFormat="1" ht="32.25" customHeight="1">
      <c r="A54" s="576"/>
      <c r="B54" s="576"/>
      <c r="C54" s="576"/>
      <c r="D54" s="814"/>
      <c r="E54" s="878"/>
      <c r="F54" s="879"/>
      <c r="G54" s="880"/>
      <c r="I54" s="871" t="s">
        <v>699</v>
      </c>
      <c r="J54" s="620" t="e">
        <f>J52-J53</f>
        <v>#DIV/0!</v>
      </c>
      <c r="K54" s="872" t="e">
        <f>K52-K53</f>
        <v>#DIV/0!</v>
      </c>
      <c r="L54" s="870" t="e">
        <f t="shared" si="1"/>
        <v>#DIV/0!</v>
      </c>
      <c r="M54" s="48"/>
    </row>
    <row r="55" spans="1:13" ht="30" customHeight="1">
      <c r="A55" s="286"/>
      <c r="C55" s="41"/>
      <c r="D55" s="55"/>
      <c r="E55" s="594" t="s">
        <v>668</v>
      </c>
      <c r="F55" s="881"/>
      <c r="G55" s="881"/>
      <c r="I55" s="882" t="str">
        <f>"Prix de fonctionnement pour  "&amp;J64&amp;" SMIC/UMO expl  (à indiquer en J58)"</f>
        <v>Prix de fonctionnement pour   SMIC/UMO expl  (à indiquer en J58)</v>
      </c>
      <c r="J55" s="883" t="e">
        <f>(J61*SMIC/Cuisine!C44)+(J50+J51+J53-F49-F51-F52-F53-F45)</f>
        <v>#N/A</v>
      </c>
      <c r="K55" s="883" t="e">
        <f>(K61*SMIC/Cuisine!E44)+(K50+K51+K53-G49-G51-G52-G53-G45)</f>
        <v>#N/A</v>
      </c>
      <c r="L55" s="884" t="e">
        <f t="shared" si="1"/>
        <v>#N/A</v>
      </c>
      <c r="M55" s="48"/>
    </row>
    <row r="56" spans="1:13" ht="12.75" customHeight="1">
      <c r="A56" s="286"/>
      <c r="B56" s="344"/>
      <c r="C56" s="55"/>
      <c r="D56" s="55"/>
      <c r="E56" s="885"/>
      <c r="F56" s="886"/>
      <c r="G56" s="886"/>
      <c r="I56" s="887"/>
      <c r="J56" s="888"/>
      <c r="K56" s="877"/>
      <c r="L56" s="877"/>
      <c r="M56" s="48"/>
    </row>
    <row r="57" spans="5:13" ht="12.75" customHeight="1">
      <c r="E57" s="1413" t="s">
        <v>700</v>
      </c>
      <c r="F57" s="1414" t="e">
        <f>F47-F9+F44</f>
        <v>#DIV/0!</v>
      </c>
      <c r="G57" s="1415" t="e">
        <f>G47-G9+G44</f>
        <v>#DIV/0!</v>
      </c>
      <c r="I57" s="1412" t="str">
        <f>"Prix de revient du lait pour n SMIC en "&amp;G6-1&amp;" puis en "&amp;G6</f>
        <v>Prix de revient du lait pour n SMIC en 2013 puis en 2014</v>
      </c>
      <c r="J57" s="1412"/>
      <c r="K57" s="1412"/>
      <c r="L57" s="1412"/>
      <c r="M57" s="48"/>
    </row>
    <row r="58" spans="5:13" ht="12.75" customHeight="1">
      <c r="E58" s="1413"/>
      <c r="F58" s="1414"/>
      <c r="G58" s="1415"/>
      <c r="M58" s="48"/>
    </row>
    <row r="59" spans="1:14" s="676" customFormat="1" ht="12.75" customHeight="1">
      <c r="A59" s="576"/>
      <c r="C59" s="268"/>
      <c r="D59" s="344"/>
      <c r="E59" s="1401" t="s">
        <v>701</v>
      </c>
      <c r="F59" s="1406" t="e">
        <f>F57*Cuisine!C44/SMIC</f>
        <v>#DIV/0!</v>
      </c>
      <c r="G59" s="1407" t="e">
        <f>G57*Cuisine!E44/SMIC</f>
        <v>#DIV/0!</v>
      </c>
      <c r="I59" s="889" t="s">
        <v>702</v>
      </c>
      <c r="J59" s="889"/>
      <c r="K59" s="889"/>
      <c r="L59" s="889"/>
      <c r="M59" s="48"/>
      <c r="N59" s="48"/>
    </row>
    <row r="60" spans="1:14" s="676" customFormat="1" ht="12.75" customHeight="1">
      <c r="A60" s="576"/>
      <c r="C60" s="268"/>
      <c r="D60" s="344"/>
      <c r="E60" s="1401"/>
      <c r="F60" s="1406"/>
      <c r="G60" s="1407"/>
      <c r="I60" s="268"/>
      <c r="J60" s="268"/>
      <c r="K60" s="268"/>
      <c r="L60" s="268"/>
      <c r="M60" s="48"/>
      <c r="N60" s="48"/>
    </row>
    <row r="61" spans="2:13" ht="12.75" customHeight="1">
      <c r="B61" s="676"/>
      <c r="C61" s="829"/>
      <c r="D61" s="830"/>
      <c r="E61" s="1401" t="s">
        <v>703</v>
      </c>
      <c r="F61" s="1408" t="e">
        <f>'Edition 1'!B61</f>
        <v>#N/A</v>
      </c>
      <c r="G61" s="1409" t="e">
        <f>F61*(1+C61)</f>
        <v>#N/A</v>
      </c>
      <c r="I61" s="1398" t="s">
        <v>704</v>
      </c>
      <c r="J61" s="1399">
        <v>1.5</v>
      </c>
      <c r="K61" s="1400">
        <f>J61</f>
        <v>1.5</v>
      </c>
      <c r="L61" s="1397"/>
      <c r="M61" s="48"/>
    </row>
    <row r="62" spans="2:13" ht="15" customHeight="1">
      <c r="B62" s="676"/>
      <c r="D62" s="830"/>
      <c r="E62" s="1401"/>
      <c r="F62" s="1408"/>
      <c r="G62" s="1409"/>
      <c r="I62" s="1398"/>
      <c r="J62" s="1399"/>
      <c r="K62" s="1400"/>
      <c r="L62" s="1397"/>
      <c r="M62" s="48"/>
    </row>
    <row r="63" spans="2:13" ht="15" customHeight="1">
      <c r="B63" s="676"/>
      <c r="D63" s="830"/>
      <c r="E63" s="1401" t="s">
        <v>705</v>
      </c>
      <c r="F63" s="1402" t="e">
        <f>LCB/F61</f>
        <v>#N/A</v>
      </c>
      <c r="G63" s="1403" t="e">
        <f>F63*(1+C48)*F61/G61</f>
        <v>#N/A</v>
      </c>
      <c r="I63" s="1404" t="str">
        <f>"Prix de revient pour "&amp;J61&amp;" SMIC"</f>
        <v>Prix de revient pour 1,5 SMIC</v>
      </c>
      <c r="J63" s="1405" t="e">
        <f>$F$9-$F$44+(SMIC*J61/Cuisine!C44)-$F$49-$F$51-$F$52-$F$53</f>
        <v>#DIV/0!</v>
      </c>
      <c r="K63" s="1405" t="e">
        <f>$G$9-$G$44+(SMICSIM*K61/Cuisine!E44)-$G$49-$G$51-$G$52-$G$53</f>
        <v>#DIV/0!</v>
      </c>
      <c r="L63" s="1397" t="e">
        <f>(K63-J63)/J63</f>
        <v>#DIV/0!</v>
      </c>
      <c r="M63" s="48"/>
    </row>
    <row r="64" spans="1:13" s="890" customFormat="1" ht="7.5" customHeight="1">
      <c r="A64" s="576"/>
      <c r="B64" s="676"/>
      <c r="C64" s="268"/>
      <c r="D64" s="830"/>
      <c r="E64" s="1401"/>
      <c r="F64" s="1402"/>
      <c r="G64" s="1403">
        <f>F64*(1+B64)*(1+C64)</f>
        <v>0</v>
      </c>
      <c r="I64" s="1404"/>
      <c r="J64" s="1405"/>
      <c r="K64" s="1405"/>
      <c r="L64" s="1397" t="e">
        <f>(K64-J64)/J64</f>
        <v>#DIV/0!</v>
      </c>
      <c r="M64" s="268"/>
    </row>
    <row r="65" spans="1:13" s="41" customFormat="1" ht="12.75" customHeight="1">
      <c r="A65" s="576"/>
      <c r="B65" s="576"/>
      <c r="C65" s="576"/>
      <c r="D65" s="830"/>
      <c r="E65" s="175"/>
      <c r="F65" s="891"/>
      <c r="G65" s="892"/>
      <c r="H65" s="676"/>
      <c r="I65" s="48"/>
      <c r="J65" s="48"/>
      <c r="K65" s="48"/>
      <c r="L65" s="48"/>
      <c r="M65" s="268"/>
    </row>
    <row r="66" spans="1:13" s="41" customFormat="1" ht="16.5" customHeight="1">
      <c r="A66" s="893"/>
      <c r="B66" s="19"/>
      <c r="C66" s="846"/>
      <c r="D66" s="877"/>
      <c r="E66" s="894" t="s">
        <v>706</v>
      </c>
      <c r="F66" s="895"/>
      <c r="G66" s="895"/>
      <c r="H66" s="680"/>
      <c r="I66" s="48"/>
      <c r="J66" s="48"/>
      <c r="K66" s="48"/>
      <c r="L66" s="48"/>
      <c r="M66" s="268"/>
    </row>
    <row r="67" spans="1:8" ht="12.75" customHeight="1">
      <c r="A67" s="42"/>
      <c r="B67" s="41"/>
      <c r="C67" s="41"/>
      <c r="D67" s="55"/>
      <c r="E67" s="896"/>
      <c r="F67" s="897"/>
      <c r="G67" s="897"/>
      <c r="H67" s="898"/>
    </row>
    <row r="68" spans="1:10" ht="12.75" customHeight="1">
      <c r="A68" s="42"/>
      <c r="C68" s="41"/>
      <c r="D68" s="55"/>
      <c r="E68" s="675" t="s">
        <v>641</v>
      </c>
      <c r="F68" s="676"/>
      <c r="G68" s="676"/>
      <c r="H68" s="899"/>
      <c r="I68" s="676"/>
      <c r="J68" s="676"/>
    </row>
    <row r="69" spans="1:12" ht="12.75" customHeight="1">
      <c r="A69" s="698"/>
      <c r="E69" s="900"/>
      <c r="F69" s="901"/>
      <c r="G69" s="901"/>
      <c r="H69" s="902"/>
      <c r="I69" s="901"/>
      <c r="J69" s="901"/>
      <c r="K69" s="903"/>
      <c r="L69" s="903"/>
    </row>
    <row r="70" spans="1:12" ht="12.75" customHeight="1">
      <c r="A70" s="698"/>
      <c r="E70" s="904"/>
      <c r="F70" s="904"/>
      <c r="G70" s="904"/>
      <c r="H70" s="902"/>
      <c r="I70" s="904"/>
      <c r="J70" s="904"/>
      <c r="K70" s="904"/>
      <c r="L70" s="904"/>
    </row>
    <row r="71" spans="1:12" ht="12.75" customHeight="1">
      <c r="A71" s="698"/>
      <c r="E71" s="902"/>
      <c r="F71" s="902"/>
      <c r="G71" s="902"/>
      <c r="H71" s="902"/>
      <c r="I71" s="902"/>
      <c r="J71" s="902"/>
      <c r="K71" s="902"/>
      <c r="L71" s="902"/>
    </row>
    <row r="72" spans="1:12" ht="12.75" customHeight="1">
      <c r="A72" s="698"/>
      <c r="E72" s="902"/>
      <c r="F72" s="902"/>
      <c r="G72" s="902"/>
      <c r="H72" s="902"/>
      <c r="I72" s="902"/>
      <c r="J72" s="902"/>
      <c r="K72" s="902"/>
      <c r="L72" s="902"/>
    </row>
    <row r="73" spans="1:12" ht="12.75" customHeight="1">
      <c r="A73" s="698"/>
      <c r="E73" s="902"/>
      <c r="F73" s="902"/>
      <c r="G73" s="902"/>
      <c r="H73" s="903"/>
      <c r="I73" s="902"/>
      <c r="J73" s="902"/>
      <c r="K73" s="902"/>
      <c r="L73" s="902"/>
    </row>
    <row r="74" spans="1:12" ht="12.75" customHeight="1">
      <c r="A74" s="698"/>
      <c r="E74" s="902"/>
      <c r="F74" s="902"/>
      <c r="G74" s="902"/>
      <c r="H74" s="903"/>
      <c r="I74" s="902"/>
      <c r="J74" s="902"/>
      <c r="K74" s="902"/>
      <c r="L74" s="902"/>
    </row>
    <row r="75" spans="1:12" ht="12.75" customHeight="1">
      <c r="A75" s="698"/>
      <c r="E75" s="902"/>
      <c r="F75" s="902"/>
      <c r="G75" s="902"/>
      <c r="H75" s="903"/>
      <c r="I75" s="902"/>
      <c r="J75" s="902"/>
      <c r="K75" s="902"/>
      <c r="L75" s="902"/>
    </row>
  </sheetData>
  <sheetProtection password="BF82" sheet="1" selectLockedCells="1"/>
  <mergeCells count="24">
    <mergeCell ref="B4:C7"/>
    <mergeCell ref="I30:L31"/>
    <mergeCell ref="I48:L48"/>
    <mergeCell ref="E57:E58"/>
    <mergeCell ref="F57:F58"/>
    <mergeCell ref="G57:G58"/>
    <mergeCell ref="I57:L57"/>
    <mergeCell ref="K63:K64"/>
    <mergeCell ref="E59:E60"/>
    <mergeCell ref="F59:F60"/>
    <mergeCell ref="G59:G60"/>
    <mergeCell ref="E61:E62"/>
    <mergeCell ref="F61:F62"/>
    <mergeCell ref="G61:G62"/>
    <mergeCell ref="L63:L64"/>
    <mergeCell ref="I61:I62"/>
    <mergeCell ref="J61:J62"/>
    <mergeCell ref="K61:K62"/>
    <mergeCell ref="L61:L62"/>
    <mergeCell ref="E63:E64"/>
    <mergeCell ref="F63:F64"/>
    <mergeCell ref="G63:G64"/>
    <mergeCell ref="I63:I64"/>
    <mergeCell ref="J63:J64"/>
  </mergeCells>
  <printOptions horizontalCentered="1"/>
  <pageMargins left="0.39375" right="0.39375" top="0.39375" bottom="0.39375" header="0.5118055555555555" footer="0.5118055555555555"/>
  <pageSetup fitToHeight="1" fitToWidth="1" horizontalDpi="300" verticalDpi="300"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Nathalie MORARDET</dc:creator>
  <cp:keywords/>
  <dc:description/>
  <cp:lastModifiedBy>Nathalie MORARDET</cp:lastModifiedBy>
  <cp:lastPrinted>2019-02-20T16:25:14Z</cp:lastPrinted>
  <dcterms:created xsi:type="dcterms:W3CDTF">2016-11-14T10:08:49Z</dcterms:created>
  <dcterms:modified xsi:type="dcterms:W3CDTF">2019-12-02T13:05:05Z</dcterms:modified>
  <cp:category/>
  <cp:version/>
  <cp:contentType/>
  <cp:contentStatus/>
</cp:coreProperties>
</file>