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AURA ELEVAGE\Caprin\Viande Caprine\PROG FILIERE EMERGENTE 2015-2016\B.3 - Accomp projets engraissement\Outil d'aide à la décision\"/>
    </mc:Choice>
  </mc:AlternateContent>
  <bookViews>
    <workbookView xWindow="0" yWindow="0" windowWidth="19200" windowHeight="10890"/>
  </bookViews>
  <sheets>
    <sheet name="Mode emploi" sheetId="1" r:id="rId1"/>
    <sheet name="Description" sheetId="2" r:id="rId2"/>
    <sheet name="Coût élevage" sheetId="3" r:id="rId3"/>
    <sheet name="Coût logement" sheetId="4" r:id="rId4"/>
    <sheet name="Coût abattage découpe" sheetId="5" r:id="rId5"/>
    <sheet name="Investissements tsport froid" sheetId="6" r:id="rId6"/>
    <sheet name="Coût tsport et commerc" sheetId="7" r:id="rId7"/>
    <sheet name="Marge" sheetId="8" r:id="rId8"/>
    <sheet name="Prix revient" sheetId="9" r:id="rId9"/>
  </sheets>
  <definedNames>
    <definedName name="_xlnm.Print_Area" localSheetId="4">'Coût abattage découpe'!$A$1:$C$51</definedName>
    <definedName name="_xlnm.Print_Area" localSheetId="2">'Coût élevage'!$A$1:$C$59</definedName>
    <definedName name="_xlnm.Print_Area" localSheetId="3">'Coût logement'!$A$1:$D$65</definedName>
    <definedName name="_xlnm.Print_Area" localSheetId="6">'Coût tsport et commerc'!$A$1:$C$72</definedName>
    <definedName name="_xlnm.Print_Area" localSheetId="1">Description!$B$1:$G$52</definedName>
    <definedName name="_xlnm.Print_Area" localSheetId="5">'Investissements tsport froid'!$A$1:$B$41</definedName>
    <definedName name="_xlnm.Print_Area" localSheetId="7">Marge!$A$1:$D$56</definedName>
    <definedName name="_xlnm.Print_Area" localSheetId="0">'Mode emploi'!$A$1:$L$38</definedName>
    <definedName name="_xlnm.Print_Area" localSheetId="8">'Prix revient'!$A$1:$C$37</definedName>
  </definedNames>
  <calcPr calcId="162913"/>
  <extLst>
    <ext xmlns:loext="http://schemas.libreoffice.org/" uri="{7626C862-2A13-11E5-B345-FEFF819CDC9F}">
      <loext:extCalcPr stringRefSyntax="CalcA1ExcelA1"/>
    </ext>
  </extLst>
</workbook>
</file>

<file path=xl/calcChain.xml><?xml version="1.0" encoding="utf-8"?>
<calcChain xmlns="http://schemas.openxmlformats.org/spreadsheetml/2006/main">
  <c r="C10" i="3" l="1"/>
  <c r="B10" i="3"/>
  <c r="C15" i="9" l="1"/>
  <c r="B15" i="9"/>
  <c r="C12" i="9"/>
  <c r="B12" i="9"/>
  <c r="D26" i="8"/>
  <c r="C26" i="8"/>
  <c r="M24" i="8"/>
  <c r="D20" i="8"/>
  <c r="C20" i="8"/>
  <c r="D15" i="8"/>
  <c r="C15" i="8"/>
  <c r="D14" i="8"/>
  <c r="C14" i="8"/>
  <c r="C38" i="7"/>
  <c r="C37" i="7"/>
  <c r="C35" i="7"/>
  <c r="C34" i="7"/>
  <c r="C32" i="7"/>
  <c r="C31" i="7"/>
  <c r="B18" i="6"/>
  <c r="B11" i="6"/>
  <c r="B17" i="6" s="1"/>
  <c r="B21" i="6" s="1"/>
  <c r="B29" i="5"/>
  <c r="B28" i="5"/>
  <c r="B25" i="5"/>
  <c r="B24" i="5"/>
  <c r="C33" i="4"/>
  <c r="B33" i="4"/>
  <c r="C32" i="4"/>
  <c r="B32" i="4"/>
  <c r="C13" i="4"/>
  <c r="C10" i="4"/>
  <c r="C12" i="4" s="1"/>
  <c r="B10" i="4"/>
  <c r="B12" i="4" s="1"/>
  <c r="C41" i="3"/>
  <c r="B41" i="3"/>
  <c r="C36" i="3"/>
  <c r="B36" i="3"/>
  <c r="C34" i="3"/>
  <c r="C32" i="3"/>
  <c r="B32" i="3"/>
  <c r="C10" i="8" s="1"/>
  <c r="C26" i="3"/>
  <c r="C37" i="3" s="1"/>
  <c r="D12" i="8" s="1"/>
  <c r="B26" i="3"/>
  <c r="B37" i="3" s="1"/>
  <c r="C12" i="8" s="1"/>
  <c r="C19" i="3"/>
  <c r="C16" i="3"/>
  <c r="B16" i="3"/>
  <c r="C15" i="3"/>
  <c r="B15" i="3"/>
  <c r="B14" i="3"/>
  <c r="C14" i="3" s="1"/>
  <c r="B13" i="3"/>
  <c r="C13" i="3" s="1"/>
  <c r="C27" i="3" s="1"/>
  <c r="C45" i="2"/>
  <c r="C23" i="4" s="1"/>
  <c r="C44" i="2"/>
  <c r="B22" i="4" s="1"/>
  <c r="B23" i="4" l="1"/>
  <c r="C33" i="3"/>
  <c r="D11" i="8" s="1"/>
  <c r="B34" i="4"/>
  <c r="B39" i="4" s="1"/>
  <c r="C34" i="4"/>
  <c r="C39" i="4" s="1"/>
  <c r="B33" i="3"/>
  <c r="B43" i="3" s="1"/>
  <c r="B27" i="3"/>
  <c r="B10" i="9"/>
  <c r="C10" i="9"/>
  <c r="B42" i="4"/>
  <c r="B26" i="4"/>
  <c r="C12" i="7"/>
  <c r="C50" i="7" s="1"/>
  <c r="C47" i="7"/>
  <c r="D10" i="8"/>
  <c r="B9" i="4"/>
  <c r="B20" i="5"/>
  <c r="B31" i="5" s="1"/>
  <c r="B32" i="5" s="1"/>
  <c r="B13" i="6"/>
  <c r="B23" i="6" s="1"/>
  <c r="C43" i="3"/>
  <c r="C22" i="4"/>
  <c r="B13" i="4"/>
  <c r="C8" i="8"/>
  <c r="D8" i="8"/>
  <c r="C11" i="8" l="1"/>
  <c r="B44" i="3"/>
  <c r="B9" i="9" s="1"/>
  <c r="C44" i="3"/>
  <c r="C9" i="9" s="1"/>
  <c r="C49" i="7"/>
  <c r="C45" i="7"/>
  <c r="C52" i="7" s="1"/>
  <c r="C9" i="4"/>
  <c r="B14" i="4"/>
  <c r="B15" i="4" s="1"/>
  <c r="C42" i="4"/>
  <c r="C26" i="4"/>
  <c r="D19" i="8"/>
  <c r="C19" i="8"/>
  <c r="C13" i="9"/>
  <c r="B13" i="9"/>
  <c r="B29" i="4"/>
  <c r="B41" i="4"/>
  <c r="D17" i="8" l="1"/>
  <c r="D23" i="8" s="1"/>
  <c r="D28" i="8" s="1"/>
  <c r="D30" i="8" s="1"/>
  <c r="C17" i="8"/>
  <c r="C23" i="8" s="1"/>
  <c r="C28" i="8" s="1"/>
  <c r="C30" i="8" s="1"/>
  <c r="C53" i="7"/>
  <c r="C29" i="4"/>
  <c r="C41" i="4"/>
  <c r="C14" i="4"/>
  <c r="C15" i="4" s="1"/>
  <c r="B38" i="4"/>
  <c r="B37" i="4"/>
  <c r="B11" i="9" l="1"/>
  <c r="B14" i="9" s="1"/>
  <c r="B16" i="9" s="1"/>
  <c r="C11" i="9"/>
  <c r="C14" i="9" s="1"/>
  <c r="C16" i="9" s="1"/>
  <c r="B43" i="4"/>
  <c r="B44" i="4" s="1"/>
  <c r="C37" i="4"/>
  <c r="C38" i="4"/>
  <c r="C43" i="4" l="1"/>
  <c r="C44" i="4" s="1"/>
</calcChain>
</file>

<file path=xl/sharedStrings.xml><?xml version="1.0" encoding="utf-8"?>
<sst xmlns="http://schemas.openxmlformats.org/spreadsheetml/2006/main" count="300" uniqueCount="262">
  <si>
    <t>Mode d’emploi</t>
  </si>
  <si>
    <t xml:space="preserve">Il prend en compte les éléments suivants : </t>
  </si>
  <si>
    <t>Faisabilité d’engraisser des chevreaux sur mon exploitation</t>
  </si>
  <si>
    <t>Remplacer par le nom de l’éleveur(se)/commune/tel/mel</t>
  </si>
  <si>
    <t>Remplacer par nom conseiller(e) + organisme</t>
  </si>
  <si>
    <t xml:space="preserve">Date </t>
  </si>
  <si>
    <t>Description rapide du projet (objectifs de l’éleveur, contexte global…)</t>
  </si>
  <si>
    <t>Zone de texte</t>
  </si>
  <si>
    <t xml:space="preserve">Motivations de l’éleveur pour la vente directe :  </t>
  </si>
  <si>
    <t xml:space="preserve">Paramètres techniques de l’atelier : </t>
  </si>
  <si>
    <t xml:space="preserve">Potentiel d’engraissement de mon troupeau : </t>
  </si>
  <si>
    <t xml:space="preserve">Nombre de chevreaux nés sur l’exploitation </t>
  </si>
  <si>
    <t>Nombre de chevreaux/chevrettes conservés pour l’engraissement</t>
  </si>
  <si>
    <t>Nombre de chevrettes conservées pour le renouvellement</t>
  </si>
  <si>
    <t>Taux de mortalité (naissance-vente)</t>
  </si>
  <si>
    <t>Nombre de chevreaux vendus</t>
  </si>
  <si>
    <t>Nombre de chevrettes élevées</t>
  </si>
  <si>
    <t>Pour info :</t>
  </si>
  <si>
    <t xml:space="preserve">Chevreau léger </t>
  </si>
  <si>
    <t>Chevreau lourd</t>
  </si>
  <si>
    <t>Taux de mortalité 8 j à 30 j</t>
  </si>
  <si>
    <t>Taux de mortalité 30 j – 60 j</t>
  </si>
  <si>
    <t>Charges d’élevage</t>
  </si>
  <si>
    <t>Critères techniques retenus</t>
  </si>
  <si>
    <t>Chevreau léger</t>
  </si>
  <si>
    <t xml:space="preserve">Référence </t>
  </si>
  <si>
    <t>Poids à 8 j</t>
  </si>
  <si>
    <t>30-35 j en léger, 60 j en lourd. Valeur retenue moyenne enquête 2015</t>
  </si>
  <si>
    <t>Poids retenu : moyenne enquête 2015 (8-11 kg en léger, 12,5 à 23 en lourd)</t>
  </si>
  <si>
    <t>Poids de carcasse (kg c)</t>
  </si>
  <si>
    <t xml:space="preserve">5,5 kgc en léger, 8,3 kgc en lourd. </t>
  </si>
  <si>
    <t>GMQ</t>
  </si>
  <si>
    <t>Pour info, GMQ : 180 à 200 g/j</t>
  </si>
  <si>
    <t>Indice de consommation de lait</t>
  </si>
  <si>
    <t>De 0 à 3 j en L (lait maternel)</t>
  </si>
  <si>
    <t>De 3 à 7 j en L (lait maternel)</t>
  </si>
  <si>
    <t>De 7 à 15 j en L</t>
  </si>
  <si>
    <t>Au-delà de 15 j en L</t>
  </si>
  <si>
    <t>140-150 g/l</t>
  </si>
  <si>
    <t>Prix moyen du lait en poudre (€/kg)</t>
  </si>
  <si>
    <t xml:space="preserve">1,9-2,2 €/kg selon achat groupé ou en sac à l’unité </t>
  </si>
  <si>
    <t>Prix du lait de vache (€/1000 L)</t>
  </si>
  <si>
    <t>Attention : Si utilisation de lait de vache uniquement ou de la poudre uniquement, mettre le prix moyen du lait non utilisé à zéro.</t>
  </si>
  <si>
    <t xml:space="preserve">Quantité de foin consommée </t>
  </si>
  <si>
    <t>Il peut y avoir un peu de foin sur le deuxième mois. (0,87 €/chevreau)</t>
  </si>
  <si>
    <t>150 €/T</t>
  </si>
  <si>
    <t>€/T</t>
  </si>
  <si>
    <t xml:space="preserve">500g/m²/j (nb Chevreau /m² : 4 le premier mois, 3 le second) </t>
  </si>
  <si>
    <t>Correspond à la quantité de lait bu</t>
  </si>
  <si>
    <t xml:space="preserve">Moyenne : 0,76 h/chevreau. En dessous de 30 chevreaux en présence simultanée, compter un temps incompressible de 0,5 h/j. 
Temps passé identique pour chevreau lourd et chevreau léger car la majeure partie du travail se fait le premier mois. Ensuite, le temps passé au suivi de l’engraissement est marginal et conjoint avec celui de l’élevage des chevrettes. </t>
  </si>
  <si>
    <t>Calcul des charges d’élevage</t>
  </si>
  <si>
    <t>Coût du chevreau de 8 jours</t>
  </si>
  <si>
    <t>Manque à gagner par rapport au prix de vente du chevreau de 8 jours. Il tête le lait maternel qui de toute façon n’aurait pas été commercialisable. Le prix  est majoré de 5 % pour tenir compte de la mortalité à l’engraissement</t>
  </si>
  <si>
    <t>Coût du lait</t>
  </si>
  <si>
    <t xml:space="preserve">Le coût est majoré de 5 % pour tenir compte du taux de mortalité. </t>
  </si>
  <si>
    <t>Concentré</t>
  </si>
  <si>
    <t>200 g de concentré/j au-delà de 45 j</t>
  </si>
  <si>
    <t>Vitamines et minéraux</t>
  </si>
  <si>
    <t>Référence / animal et / jour de présence</t>
  </si>
  <si>
    <t xml:space="preserve">Coût du foin </t>
  </si>
  <si>
    <t>Charge de paille</t>
  </si>
  <si>
    <t>Paille : 100 €/T</t>
  </si>
  <si>
    <t>Coût de la vaccination  / produits véto</t>
  </si>
  <si>
    <t>Forfait : 0,5 à 1,5 selon l’état sanitaire de l’élevage</t>
  </si>
  <si>
    <t xml:space="preserve">Coût de l’eau, électricité, gaz… </t>
  </si>
  <si>
    <t>Forfait</t>
  </si>
  <si>
    <t>Rémunération de l’éleveur (base : 1,5  SMIC)</t>
  </si>
  <si>
    <t>Base : 1,5 SMIC (IDELE) 17 268  € (9,76 €/h)</t>
  </si>
  <si>
    <t>Charges totales de production hors rémunération de l’éleveur</t>
  </si>
  <si>
    <t>Coût de production de l’élevage du chevreau de sa naissance à sa vente</t>
  </si>
  <si>
    <t>Commentaires</t>
  </si>
  <si>
    <t xml:space="preserve">L’outil permet de calculer 2 hypothèses : soit l’éleveur dispose d’un bâtiment (solution 1), soir l’éleveur doit en créer un. </t>
  </si>
  <si>
    <t xml:space="preserve">Après calcul, la solution retenue doit être reportée en ligne 44, pour une prise en compte dans les calculs suivants. </t>
  </si>
  <si>
    <t xml:space="preserve">Hypothèse 1 : </t>
  </si>
  <si>
    <t>Nombre de chevreaux élevés</t>
  </si>
  <si>
    <t>Investissements supplémentaire spécifique à l’engraissement des chevreaux</t>
  </si>
  <si>
    <t>Louve, barrière…</t>
  </si>
  <si>
    <t>Aide à l’investissement</t>
  </si>
  <si>
    <t>Amortissement 5 ans)</t>
  </si>
  <si>
    <t>Frais financiers (5 ans, 3%)</t>
  </si>
  <si>
    <t xml:space="preserve">Soit emprunt, soit rémunération du capital investi. </t>
  </si>
  <si>
    <t>Entretien (tétines…)</t>
  </si>
  <si>
    <t>Charges d’investissement / chevreau/an</t>
  </si>
  <si>
    <t xml:space="preserve">Hypothèse 2 : </t>
  </si>
  <si>
    <t>Bâtiment à créer pour l'élevage des chevrettes et des chevreaux</t>
  </si>
  <si>
    <t>Surface total du bâtiment (m²)</t>
  </si>
  <si>
    <t xml:space="preserve">Surface de logement /chevreau : </t>
  </si>
  <si>
    <t>Surface dédiée aux chevrettes et chevreaux (m²)</t>
  </si>
  <si>
    <t>Nombre  de chevreaux</t>
  </si>
  <si>
    <t>Nombre de chevrettes</t>
  </si>
  <si>
    <t>Temps d’utilisation du bâtiment par les chevreaux (mois)</t>
  </si>
  <si>
    <t>Temps d’utilisation du bâtiment par les chevrettes (mois)</t>
  </si>
  <si>
    <t>Surface de bâtiment utilisé par les chevreaux (m²)</t>
  </si>
  <si>
    <t>Coût du bâtiment (net d’aide)</t>
  </si>
  <si>
    <t>Coût du matériel spécifique à affecter aux chevreaux</t>
  </si>
  <si>
    <t>Calcul du coût annuel du bâtiment</t>
  </si>
  <si>
    <t>Amortissement (12 ans)</t>
  </si>
  <si>
    <t>Frais financiers (10 ans, 3%)</t>
  </si>
  <si>
    <t>Assurance  (partie utilisée pour les chevreaux)</t>
  </si>
  <si>
    <t>Curage du bâtiment (2 €/m²)</t>
  </si>
  <si>
    <t>Entretien (tétines...)</t>
  </si>
  <si>
    <t xml:space="preserve">Total </t>
  </si>
  <si>
    <t>Charge d’investissement/chevreau/an (€)</t>
  </si>
  <si>
    <t>Charge d’investissement/Chevreau/an selon la solution retenue :</t>
  </si>
  <si>
    <t>Commentaires :</t>
  </si>
  <si>
    <t>Coût de l’abattage et de la découpe</t>
  </si>
  <si>
    <t>L’outil intègre le coût de l’abattage et de la découpe.</t>
  </si>
  <si>
    <t>Coût de l'abattage</t>
  </si>
  <si>
    <t>€/chevreau</t>
  </si>
  <si>
    <t>source : valeur moyenne enquête abattoir 2015</t>
  </si>
  <si>
    <t xml:space="preserve">Tarif découpe prestation service </t>
  </si>
  <si>
    <t>Temps passé à la découpe par le boucher</t>
  </si>
  <si>
    <t>pour le nombre de chevreaux prévus ci-dessous</t>
  </si>
  <si>
    <t>Coût horaire du boucher</t>
  </si>
  <si>
    <t xml:space="preserve">Nb chevreau/an : </t>
  </si>
  <si>
    <t>Coût du laboratoire</t>
  </si>
  <si>
    <t>Labo modulaire type algéco, neuf, équipé. Terrassement + dalle béton fait par exploitant</t>
  </si>
  <si>
    <t>Frais financier (12 ans)</t>
  </si>
  <si>
    <t xml:space="preserve">Assurance, électricité, eau, </t>
  </si>
  <si>
    <t>0,20 €/chevreau (estimation / fiche CRA LR)</t>
  </si>
  <si>
    <t>Frais de transfo (caisse, sac,…) /chevreau</t>
  </si>
  <si>
    <t>Carton + sac de fond  (pas de sous-vide)</t>
  </si>
  <si>
    <t>Coût de la découpe par éleveur</t>
  </si>
  <si>
    <t>Coût du boucher</t>
  </si>
  <si>
    <t>Charges de découpe/chevreau</t>
  </si>
  <si>
    <t xml:space="preserve">Si la solution de découpe à la ferme est retenue, reporter la charge dans le tarif découpe prestation service </t>
  </si>
  <si>
    <t>Besoin en matériel pour le transport, la conservation et la vente</t>
  </si>
  <si>
    <t>Référence prix</t>
  </si>
  <si>
    <t xml:space="preserve">Caisse isotherme </t>
  </si>
  <si>
    <t>Coût location véhicule frigo : 100 à 150 €/j en fonction du kilométrage</t>
  </si>
  <si>
    <t>Vitrine réfrigérée</t>
  </si>
  <si>
    <t>Chambre froide</t>
  </si>
  <si>
    <t xml:space="preserve">Neuf : 7000 € pour 6 m², frigo prof occ : 1 500 €. </t>
  </si>
  <si>
    <t xml:space="preserve">Coût des investissements : </t>
  </si>
  <si>
    <t>Amortissement (7 ans)</t>
  </si>
  <si>
    <t>Frais financiers</t>
  </si>
  <si>
    <t>Frais maintenance, assurance… sous forme forfaitaire</t>
  </si>
  <si>
    <t xml:space="preserve">Estimation </t>
  </si>
  <si>
    <t>Total des investissements en froid et transport</t>
  </si>
  <si>
    <t xml:space="preserve">La définition de ces paramètres par l’éleveur lui permet de réfléchir à son projet et à la gestion de sa chaîne logistique. </t>
  </si>
  <si>
    <t xml:space="preserve">Si vente en vif, mettre toutes les données à zéro dans cet onglet. </t>
  </si>
  <si>
    <t xml:space="preserve">Attention : l’outil additionne les coûts du transport réalisé par exploitant et par prestataire. Pensez à indiquer « 0 » si la solution n’est pas retenue. </t>
  </si>
  <si>
    <t>Détention du CAPTAV par le producteur ?</t>
  </si>
  <si>
    <t>Oui/Non</t>
  </si>
  <si>
    <t>Nombre d’abattage par an :</t>
  </si>
  <si>
    <t>Paramètres techniques si transport réalisé par l’exploitant</t>
  </si>
  <si>
    <t>Abattage</t>
  </si>
  <si>
    <t>Temps transport exploitation – abattoir  (AR, en h)</t>
  </si>
  <si>
    <t>Nb km exploitation – abattoir (AR)</t>
  </si>
  <si>
    <t>Découpe</t>
  </si>
  <si>
    <t>Temps transport  abattoir – salle de découpe  (AR, en h)</t>
  </si>
  <si>
    <t>Nb km abattoir – salle de découpe  (AR)</t>
  </si>
  <si>
    <t xml:space="preserve">Commercialisation </t>
  </si>
  <si>
    <t>Temps transport découpe-vente  (AR, en h)</t>
  </si>
  <si>
    <t>Nb km découpe-lieu de vente  (AR))</t>
  </si>
  <si>
    <t>Temps total de commercialisation (intègre la vente, mais aussi le démarchage/relance client)</t>
  </si>
  <si>
    <t xml:space="preserve">Se baser sur SC26 + enquête nationale CC Ovins ? </t>
  </si>
  <si>
    <t>Paramètres techniques si transport réalisé par un prestataire</t>
  </si>
  <si>
    <t>Coût de transport par trajet à l’abattoir</t>
  </si>
  <si>
    <t>Coût du transport par trajet abattoir-salle de découpe</t>
  </si>
  <si>
    <t>Coût du transport par trajet salle de découpe-lieu de vente</t>
  </si>
  <si>
    <t xml:space="preserve">Calcul des charges opérationnelles abattage → commercialisation </t>
  </si>
  <si>
    <t>Référence</t>
  </si>
  <si>
    <t>Le coût du transport par exploitant est calculé sur la base de 0,5 /km et prend en compte le véhicule et le carburant</t>
  </si>
  <si>
    <t xml:space="preserve">Coût du transport vers abattoir </t>
  </si>
  <si>
    <t>Rémunération de l’éleveur (base 1,5 SMIC horaire brut)</t>
  </si>
  <si>
    <t>Base 1,5 SMIC</t>
  </si>
  <si>
    <t>Coût du transport carcasse  abattoir – découpe</t>
  </si>
  <si>
    <t>Coût du transport salle de découpe – lieu de vente</t>
  </si>
  <si>
    <t>Coût total de la commercialisation s.s. (commission, place de marché…)</t>
  </si>
  <si>
    <t>En fonction du réseau choisi par éleveur (PVC : 20 %, marché : 15 €/marché?)</t>
  </si>
  <si>
    <t>Si transport éleveur, se reporter également à la partie investissement froid</t>
  </si>
  <si>
    <t>Charges de transport et de commercialisation par chevreau vendu</t>
  </si>
  <si>
    <t xml:space="preserve">Coût du transport (véhicule – carburant) </t>
  </si>
  <si>
    <t>Coût de la commercialisation s.s. (commission, place de marché…)</t>
  </si>
  <si>
    <t xml:space="preserve">Rémunération de l’éleveur lors du transport </t>
  </si>
  <si>
    <t>Rémunération de l’éleveur (temps de commercialisation)</t>
  </si>
  <si>
    <t>Charges totales transport (abattage vente) – commercialisation/chevreau</t>
  </si>
  <si>
    <t>Coût transport (abattage – vente) – commercialisation/chevreau</t>
  </si>
  <si>
    <t>Rappel réglementaire CAPTAV (source : site internet du GDS38 au 5/01/2018)</t>
  </si>
  <si>
    <t>Transport d'Animaux Vivants 
. 
Depuis le 5 janvier 2008, en vertu de la réglementation européenne (Règlement (CE)1/2005), toute personne effectuant, pour son compte ou pour le compte d’un tiers, un transport d’animaux vivants vertébrés (mammifères, oiseaux, poissons, etc.…) doit être titulaire d’une autorisation. 
Cette autorisation se décompose en 3 points : 
- le chauffeur doit savoir transporter des animaux : il doit être titulaire du CAPTAV. 
- les moyens de transport doivent être agrées pour pouvoir transporter des animaux. 
- Un engagement de l'exploitation. 
.
Cette réglementation s'applique pour des transports d'animaux effectués dans le cadre d’une activité économique(*).
L’activité est interprétée au sens large et peut résulter du transport lui-même ou de sa finalité (vente d’animaux, transactions diverses, conduite à l’abattoir ou en centre de rassemblement).
.
Elle ne s'applique pas, même s'il est réalisé dans le cadre d'une activité économique, si le transport : 
- se fait sur une distance inférieure à 65 km 
- est effectué par les éleveurs, avec leurs propres véhicules en vue de la transhumance 
- ne concerne qu'un seul animal. 
. 
Cependant cette dérogation ne dispense pas le respect des principes généraux, concernant notamment l'aptitude des animaux au voyage et la conformité des moyens de transport. 
. 
En conséquence sont concernés les négociants et les transporteurs spécialisés, mais aussi les éleveurs transportant en même temps plus d’un animal vers un abattoir ou vers tout autre lieu de transaction (marché, foire, centre de rassemblement etc..).</t>
  </si>
  <si>
    <t>NB de chevreaux vendus</t>
  </si>
  <si>
    <t>€/chevreau vendu</t>
  </si>
  <si>
    <t xml:space="preserve">Chevreau </t>
  </si>
  <si>
    <t>Alimentation (lait, foin, vitamines)</t>
  </si>
  <si>
    <t>Charges diverses (paille, eau, véto…)</t>
  </si>
  <si>
    <t xml:space="preserve">Découpe </t>
  </si>
  <si>
    <t>Commercialisation</t>
  </si>
  <si>
    <t>Charges commerciales (commission…) + transport</t>
  </si>
  <si>
    <t>Le coût du transport ne prend en compte que le carburant et le véhicule ou le coût du prestataire</t>
  </si>
  <si>
    <t>Investissement</t>
  </si>
  <si>
    <t>Matériel froid + transport</t>
  </si>
  <si>
    <t xml:space="preserve">Attention : selon le choix retenu, il faudra faire un lien vers la bonne solution. </t>
  </si>
  <si>
    <t xml:space="preserve">Bâtiment élevage </t>
  </si>
  <si>
    <t>Charges totales/chevreau</t>
  </si>
  <si>
    <t xml:space="preserve">Marge/chevreau </t>
  </si>
  <si>
    <t>Marge/heure de travail</t>
  </si>
  <si>
    <t>La marge sert à rémunérer l’exploitant et à payer les charges de structure</t>
  </si>
  <si>
    <t xml:space="preserve">Conclusion sur la faisabilité du projet : </t>
  </si>
  <si>
    <t>Coût de production / chevreau</t>
  </si>
  <si>
    <t xml:space="preserve">Coût de l’élevage : </t>
  </si>
  <si>
    <t>Coût abattage-découpe</t>
  </si>
  <si>
    <t>Coût transport commercialisation</t>
  </si>
  <si>
    <t xml:space="preserve">Coût logement : </t>
  </si>
  <si>
    <t>Coût du matériel froid</t>
  </si>
  <si>
    <t xml:space="preserve">Prix de vente minimum (€/kg carcasse) </t>
  </si>
  <si>
    <t>Ce prix couvre  l’ensemble des charges, rémunération de l’éleveur comprise (hors charges sociales et charges de structure générale)</t>
  </si>
  <si>
    <t>- coût d'élevage du chevreau</t>
  </si>
  <si>
    <t>- coût du logement, soit dans un bâtiment existant, soit avec création de bâtiment</t>
  </si>
  <si>
    <t>- coût de l'abattage et de la découpe</t>
  </si>
  <si>
    <t>- investissement en matériel transport et froid</t>
  </si>
  <si>
    <t>- coûts de transport et de commercialisation</t>
  </si>
  <si>
    <t xml:space="preserve">Dans chaque onglet, les cellules à compléter sont en vert. </t>
  </si>
  <si>
    <t>Attention : les feuilles ne sont pas sécurisées, pour conserver les fonctionnalités de l'outil ne modifiez pas les cellules qui ne sont pas en vert.</t>
  </si>
  <si>
    <t xml:space="preserve">Ces commentaires n’apparaissent pas à l’impression. </t>
  </si>
  <si>
    <t>Les textes en rouge sont des commentaires sur les références utilisées ou des consignes sur la façon de compléter les onglets.</t>
  </si>
  <si>
    <t xml:space="preserve">Le résultat obtenu au final est : </t>
  </si>
  <si>
    <t>DECI'CABRI</t>
  </si>
  <si>
    <r>
      <rPr>
        <b/>
        <sz val="11"/>
        <rFont val="Arial"/>
        <family val="2"/>
      </rPr>
      <t xml:space="preserve">Éléments à prendre en compte : </t>
    </r>
    <r>
      <rPr>
        <sz val="11"/>
        <rFont val="Arial"/>
        <family val="2"/>
      </rPr>
      <t xml:space="preserve">
- Disponibilité de l’éleveur 
- Compétences de l’éleveur en découpe
- Motivation de l’éleveur pour la vente
- Clientèle potentielle,
- Saisonnalité… 
Si une majorité de « non » à ces questions, vigilance par rapport à l’intérêt de l’atelier. 
</t>
    </r>
  </si>
  <si>
    <t xml:space="preserve">Tous les calculs sont faits sur la base du nombre de chevreaux vendus. </t>
  </si>
  <si>
    <t xml:space="preserve">NB : Au-delà de 60 j, le résultat risque d’être sous-estimé car les derniers kilos de croît sont les chers à produire. </t>
  </si>
  <si>
    <t>Marge brute de l’atelier 
par chevreau (€)</t>
  </si>
  <si>
    <t>Bâtiment existant pour l'élevage chevrettes, utilisé pour l'élevage chevreaux</t>
  </si>
  <si>
    <t>Amortissement (5 ans)</t>
  </si>
  <si>
    <r>
      <t xml:space="preserve">Investissements supplémentaires spécifiques engraissement des chevreaux </t>
    </r>
    <r>
      <rPr>
        <sz val="9"/>
        <rFont val="Arial"/>
        <family val="2"/>
      </rPr>
      <t>(louve, barrière)</t>
    </r>
  </si>
  <si>
    <t>Coût du bâtiment à affecter aux chevreaux</t>
  </si>
  <si>
    <t xml:space="preserve">NB : le calcul de l’atelier de découpe à la ferme est fait à titre pédagogique. Dans la majorité des cas, la construction d’un labo pour la seule découpe de chevreau n’est pas viable. </t>
  </si>
  <si>
    <t xml:space="preserve">Base de calcul : un labo de 15 m² comprenant une salle de découpe avec une partie plonge et une chambre froide (ou un frigo professionnel) sont suffisants si on ne fait que de la découpe. </t>
  </si>
  <si>
    <t xml:space="preserve">Coût de l’investissement 
en matériel de transport et de froid </t>
  </si>
  <si>
    <t>Coût de l’investissement en transport-froid/chevreau/an</t>
  </si>
  <si>
    <t>Nb de chevreaux/an</t>
  </si>
  <si>
    <t>Bétaillère pour le transport des animaux vivants</t>
  </si>
  <si>
    <t>Nombre de chevreaux par lot (1 lot = 1 abattage)</t>
  </si>
  <si>
    <t>Point réglementaire en ligne 70</t>
  </si>
  <si>
    <t>Enquête Barbara + barème fiscal. Ici le calcul est fait sur la base CRA LR actualisé</t>
  </si>
  <si>
    <t xml:space="preserve">Chaque onglet comprend un texte d'introduction qui précise et explique les hypothèses de calcul retenues. </t>
  </si>
  <si>
    <t xml:space="preserve">Version 1.2 : prise en compte de l'option allaitement au lait de vache dans le coût d'élevage. </t>
  </si>
  <si>
    <t>Numéro de version et modification apportée par rapport à la version précédente :</t>
  </si>
  <si>
    <r>
      <rPr>
        <b/>
        <sz val="20"/>
        <color rgb="FFC00000"/>
        <rFont val="Arial Black"/>
        <family val="2"/>
      </rPr>
      <t>DECI'CABRI</t>
    </r>
    <r>
      <rPr>
        <b/>
        <sz val="20"/>
        <color rgb="FFC00000"/>
        <rFont val="Arial"/>
        <family val="2"/>
      </rPr>
      <t xml:space="preserve"> - Charges d’élevage</t>
    </r>
  </si>
  <si>
    <r>
      <t>Age moyen à la vente</t>
    </r>
    <r>
      <rPr>
        <sz val="10"/>
        <rFont val="Arial"/>
        <family val="2"/>
      </rPr>
      <t xml:space="preserve"> (en jours)</t>
    </r>
  </si>
  <si>
    <t>Poids vif à la vente (en kg)</t>
  </si>
  <si>
    <t>Quantité de poudre (en g/L de lait reconstitué)</t>
  </si>
  <si>
    <r>
      <t xml:space="preserve">Prix du foin </t>
    </r>
    <r>
      <rPr>
        <sz val="10"/>
        <rFont val="Arial"/>
        <family val="2"/>
      </rPr>
      <t>(en €/tonne)</t>
    </r>
  </si>
  <si>
    <r>
      <t>Coût du concentré</t>
    </r>
    <r>
      <rPr>
        <sz val="10"/>
        <rFont val="Arial"/>
        <family val="2"/>
      </rPr>
      <t xml:space="preserve"> (en €/tonne)</t>
    </r>
  </si>
  <si>
    <r>
      <t xml:space="preserve">Quantité de paille pour la durée d’engraissement </t>
    </r>
    <r>
      <rPr>
        <sz val="10"/>
        <rFont val="Arial"/>
        <family val="2"/>
      </rPr>
      <t>(en kg / chevreau)</t>
    </r>
  </si>
  <si>
    <r>
      <t xml:space="preserve">Temps passé par l’éleveur/chevreau sur la durée de l’engraissement
</t>
    </r>
    <r>
      <rPr>
        <sz val="10"/>
        <rFont val="Arial"/>
        <family val="2"/>
      </rPr>
      <t>(en h / chevreau)</t>
    </r>
  </si>
  <si>
    <r>
      <rPr>
        <b/>
        <sz val="20"/>
        <color rgb="FFC00000"/>
        <rFont val="Arial Black"/>
        <family val="2"/>
      </rPr>
      <t>DECI'CABRI</t>
    </r>
    <r>
      <rPr>
        <b/>
        <sz val="20"/>
        <color rgb="FFC00000"/>
        <rFont val="Arial"/>
        <family val="2"/>
      </rPr>
      <t xml:space="preserve"> - Coût du logement </t>
    </r>
  </si>
  <si>
    <t>Si l’exploitant n’a pas d’atelier de découpe à proximité ou s’il souhaite découper lui-même :</t>
  </si>
  <si>
    <r>
      <t xml:space="preserve">Coût de production de la découpe 
</t>
    </r>
    <r>
      <rPr>
        <b/>
        <sz val="10"/>
        <color rgb="FF009900"/>
        <rFont val="Arial"/>
        <family val="2"/>
      </rPr>
      <t>(rémunération éleveur incluse)</t>
    </r>
  </si>
  <si>
    <r>
      <rPr>
        <b/>
        <sz val="20"/>
        <color rgb="FFC00000"/>
        <rFont val="Arial Black"/>
        <family val="2"/>
      </rPr>
      <t>DECI'CABRI</t>
    </r>
    <r>
      <rPr>
        <b/>
        <sz val="20"/>
        <color rgb="FFC00000"/>
        <rFont val="Arial"/>
        <family val="2"/>
      </rPr>
      <t xml:space="preserve"> - Coût de transport et de commercialisation </t>
    </r>
  </si>
  <si>
    <t>Prix de vente d’un chevreau</t>
  </si>
  <si>
    <t>Prix de vente au kg de carcasse</t>
  </si>
  <si>
    <t>Temps passé à la découpe par éleveur (en h/chevreau)</t>
  </si>
  <si>
    <t>Prix de revient (€)</t>
  </si>
  <si>
    <t>Charges de
transformation</t>
  </si>
  <si>
    <t>Le calcul prend en compte les charges opérationnelles de l'atelier et le coût des investissements dédiés, mais pas les charges de structure, ni la rémunération du travail de l'exploitant.</t>
  </si>
  <si>
    <r>
      <t xml:space="preserve">- </t>
    </r>
    <r>
      <rPr>
        <sz val="10"/>
        <rFont val="Arial"/>
        <family val="2"/>
      </rPr>
      <t>soit une</t>
    </r>
    <r>
      <rPr>
        <b/>
        <sz val="10"/>
        <rFont val="Arial"/>
        <family val="2"/>
      </rPr>
      <t xml:space="preserve"> </t>
    </r>
    <r>
      <rPr>
        <b/>
        <sz val="11"/>
        <color rgb="FFC00000"/>
        <rFont val="Arial"/>
        <family val="2"/>
      </rPr>
      <t>marge de l’atelier d'engraissement de chevreaux :</t>
    </r>
    <r>
      <rPr>
        <sz val="11"/>
        <rFont val="Arial"/>
        <family val="2"/>
      </rPr>
      <t xml:space="preserve"> </t>
    </r>
    <r>
      <rPr>
        <sz val="10"/>
        <rFont val="Arial"/>
        <family val="2"/>
      </rPr>
      <t>le calcul prend en compte les charges opérationnelles de l'atelier et le coût des investissements dédiés, mais pas les charges de structure, ni la rémunération du travail de l'exploitant.</t>
    </r>
  </si>
  <si>
    <t>Quantité totale d’eau consommée/chevreau</t>
  </si>
  <si>
    <t xml:space="preserve">C’est le prix de vente minimum permettant de couvrir les charges de l’atelier et de rémunérer le travail de l’exploitant (à hauteur de 1,5 SMIC). </t>
  </si>
  <si>
    <r>
      <t xml:space="preserve">- </t>
    </r>
    <r>
      <rPr>
        <sz val="10"/>
        <rFont val="Arial"/>
        <family val="2"/>
      </rPr>
      <t xml:space="preserve">soit </t>
    </r>
    <r>
      <rPr>
        <b/>
        <sz val="11"/>
        <color rgb="FFC00000"/>
        <rFont val="Arial"/>
        <family val="2"/>
      </rPr>
      <t>un prix de revient de l'engraissement du chevreau</t>
    </r>
    <r>
      <rPr>
        <sz val="10"/>
        <rFont val="Arial"/>
        <family val="2"/>
      </rPr>
      <t>,</t>
    </r>
    <r>
      <rPr>
        <b/>
        <sz val="10"/>
        <rFont val="Arial"/>
        <family val="2"/>
      </rPr>
      <t xml:space="preserve"> </t>
    </r>
    <r>
      <rPr>
        <sz val="10"/>
        <rFont val="Arial"/>
        <family val="2"/>
      </rPr>
      <t xml:space="preserve">c’est à dire le prix de vente minimum  permettant de couvrir les charges de l’atelier et de rémunérer le travail de l’exploitant (à hauteur de 1,5 SMIC). </t>
    </r>
  </si>
  <si>
    <t xml:space="preserve">Poids de carcasse (kg): </t>
  </si>
  <si>
    <t>Cet outil mesure la faisabilité et l’intérêt économique de la mise en place d'un atelier d’engraissement de chevreaux sur un élevage caprin déjà existant. 
Pour évaluer le coût d'engraissement d'un lot de chevreau ou le prix de vente minimum qui permettra de rémunérer le travail de l'éleveur, Déci’cabri liste tous les postes de charges directement liés à cet atelier d'engraissement. Le parti pris, cependant, est de raisonner cette activité comme un atelier complémentaire, et donc de ne pas lui affecter les charges fixes de l'exploitation.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</si>
</sst>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
    <numFmt numFmtId="165" formatCode="#,##0\ [$€-40C];\-#,##0\ [$€-40C]"/>
    <numFmt numFmtId="166" formatCode="#,##0.00\ [$€-40C];[Red]\-#,##0.00\ [$€-40C]"/>
    <numFmt numFmtId="167" formatCode="#,##0.00\ &quot;€&quot;"/>
    <numFmt numFmtId="168" formatCode="#,##0\ &quot;€&quot;"/>
    <numFmt numFmtId="169" formatCode="0.000"/>
  </numFmts>
  <fonts count="37" x14ac:knownFonts="1">
    <font>
      <sz val="10"/>
      <name val="Arial"/>
      <family val="2"/>
    </font>
    <font>
      <b/>
      <sz val="15"/>
      <name val="Arial"/>
      <family val="2"/>
    </font>
    <font>
      <b/>
      <sz val="11"/>
      <name val="Arial"/>
      <family val="2"/>
    </font>
    <font>
      <b/>
      <sz val="12"/>
      <color rgb="FF009933"/>
      <name val="Arial"/>
      <family val="2"/>
    </font>
    <font>
      <sz val="12"/>
      <name val="Arial"/>
      <family val="2"/>
    </font>
    <font>
      <b/>
      <sz val="10"/>
      <name val="Arial"/>
      <family val="2"/>
    </font>
    <font>
      <b/>
      <sz val="10"/>
      <color rgb="FFFF3333"/>
      <name val="Arial"/>
      <family val="2"/>
    </font>
    <font>
      <sz val="10"/>
      <color rgb="FFFF3333"/>
      <name val="Arial"/>
      <family val="2"/>
    </font>
    <font>
      <b/>
      <sz val="20"/>
      <color rgb="FF009933"/>
      <name val="Arial"/>
      <family val="2"/>
    </font>
    <font>
      <i/>
      <sz val="10"/>
      <name val="Arial"/>
      <family val="2"/>
    </font>
    <font>
      <sz val="10"/>
      <color rgb="FF000000"/>
      <name val="Arial"/>
      <family val="2"/>
    </font>
    <font>
      <b/>
      <i/>
      <sz val="10"/>
      <name val="Arial"/>
      <family val="2"/>
    </font>
    <font>
      <sz val="10"/>
      <color rgb="FFFF6600"/>
      <name val="Arial"/>
      <family val="2"/>
    </font>
    <font>
      <b/>
      <sz val="10"/>
      <color rgb="FF009933"/>
      <name val="Arial"/>
      <family val="2"/>
    </font>
    <font>
      <b/>
      <sz val="12"/>
      <name val="Arial"/>
      <family val="2"/>
    </font>
    <font>
      <b/>
      <sz val="10"/>
      <color rgb="FF000000"/>
      <name val="Arial"/>
      <family val="2"/>
    </font>
    <font>
      <sz val="10"/>
      <color rgb="FFFF3333"/>
      <name val="Times New Roman"/>
      <family val="1"/>
    </font>
    <font>
      <sz val="10"/>
      <color rgb="FF009933"/>
      <name val="Arial"/>
      <family val="2"/>
    </font>
    <font>
      <sz val="10"/>
      <color rgb="FFFF0000"/>
      <name val="Arial"/>
      <family val="2"/>
    </font>
    <font>
      <sz val="26"/>
      <color rgb="FFC00000"/>
      <name val="Arial Black"/>
      <family val="2"/>
    </font>
    <font>
      <sz val="9"/>
      <name val="Arial"/>
      <family val="2"/>
    </font>
    <font>
      <sz val="11"/>
      <name val="Arial"/>
      <family val="2"/>
    </font>
    <font>
      <b/>
      <sz val="20"/>
      <color rgb="FFC00000"/>
      <name val="Arial"/>
      <family val="2"/>
    </font>
    <font>
      <b/>
      <sz val="22"/>
      <color rgb="FFC00000"/>
      <name val="Arial Black"/>
      <family val="2"/>
    </font>
    <font>
      <b/>
      <sz val="26"/>
      <color rgb="FFC00000"/>
      <name val="Arial Black"/>
      <family val="2"/>
    </font>
    <font>
      <sz val="22"/>
      <color rgb="FFC00000"/>
      <name val="Arial Black"/>
      <family val="2"/>
    </font>
    <font>
      <b/>
      <sz val="18"/>
      <color rgb="FFC00000"/>
      <name val="Arial"/>
      <family val="2"/>
    </font>
    <font>
      <sz val="10"/>
      <color rgb="FF7030A0"/>
      <name val="Arial"/>
      <family val="2"/>
    </font>
    <font>
      <b/>
      <sz val="10"/>
      <color rgb="FF7030A0"/>
      <name val="Arial"/>
      <family val="2"/>
    </font>
    <font>
      <b/>
      <sz val="20"/>
      <color rgb="FF009900"/>
      <name val="Arial"/>
      <family val="2"/>
    </font>
    <font>
      <b/>
      <sz val="9"/>
      <color rgb="FFC00000"/>
      <name val="Arial"/>
      <family val="2"/>
    </font>
    <font>
      <b/>
      <sz val="11"/>
      <color rgb="FFC00000"/>
      <name val="Arial"/>
      <family val="2"/>
    </font>
    <font>
      <b/>
      <sz val="12"/>
      <color rgb="FF009900"/>
      <name val="Arial"/>
      <family val="2"/>
    </font>
    <font>
      <b/>
      <sz val="20"/>
      <color rgb="FFC00000"/>
      <name val="Arial Black"/>
      <family val="2"/>
    </font>
    <font>
      <b/>
      <sz val="10"/>
      <color rgb="FF009900"/>
      <name val="Arial"/>
      <family val="2"/>
    </font>
    <font>
      <b/>
      <sz val="18"/>
      <color rgb="FFC00000"/>
      <name val="Arial Black"/>
      <family val="2"/>
    </font>
    <font>
      <b/>
      <sz val="11"/>
      <color rgb="FF009900"/>
      <name val="Arial"/>
      <family val="2"/>
    </font>
  </fonts>
  <fills count="9">
    <fill>
      <patternFill patternType="none"/>
    </fill>
    <fill>
      <patternFill patternType="gray125"/>
    </fill>
    <fill>
      <patternFill patternType="solid">
        <fgColor rgb="FF99FF33"/>
        <bgColor rgb="FF66FF00"/>
      </patternFill>
    </fill>
    <fill>
      <patternFill patternType="solid">
        <fgColor rgb="FFFFFFFF"/>
        <bgColor rgb="FFFFFFCC"/>
      </patternFill>
    </fill>
    <fill>
      <patternFill patternType="solid">
        <fgColor rgb="FFFFFF99"/>
        <bgColor rgb="FFFFFF66"/>
      </patternFill>
    </fill>
    <fill>
      <patternFill patternType="solid">
        <fgColor rgb="FFFFFF66"/>
        <bgColor rgb="FFFFFF99"/>
      </patternFill>
    </fill>
    <fill>
      <patternFill patternType="solid">
        <fgColor rgb="FF99FF33"/>
        <bgColor indexed="64"/>
      </patternFill>
    </fill>
    <fill>
      <patternFill patternType="solid">
        <fgColor theme="7" tint="0.79998168889431442"/>
        <bgColor indexed="64"/>
      </patternFill>
    </fill>
    <fill>
      <patternFill patternType="solid">
        <fgColor rgb="FF99FF33"/>
        <bgColor rgb="FF99FF33"/>
      </patternFill>
    </fill>
  </fills>
  <borders count="45">
    <border>
      <left/>
      <right/>
      <top/>
      <bottom/>
      <diagonal/>
    </border>
    <border>
      <left style="thin">
        <color rgb="FF009933"/>
      </left>
      <right style="thin">
        <color rgb="FF009933"/>
      </right>
      <top style="thin">
        <color rgb="FF009933"/>
      </top>
      <bottom style="thin">
        <color rgb="FF009933"/>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top style="thin">
        <color auto="1"/>
      </top>
      <bottom style="thin">
        <color auto="1"/>
      </bottom>
      <diagonal/>
    </border>
    <border>
      <left/>
      <right/>
      <top/>
      <bottom style="thin">
        <color auto="1"/>
      </bottom>
      <diagonal/>
    </border>
    <border>
      <left style="hair">
        <color auto="1"/>
      </left>
      <right style="hair">
        <color auto="1"/>
      </right>
      <top style="hair">
        <color auto="1"/>
      </top>
      <bottom style="thin">
        <color auto="1"/>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9933"/>
      </left>
      <right style="thin">
        <color rgb="FF009933"/>
      </right>
      <top style="medium">
        <color rgb="FF009933"/>
      </top>
      <bottom style="thin">
        <color rgb="FF009933"/>
      </bottom>
      <diagonal/>
    </border>
    <border>
      <left style="thin">
        <color rgb="FF009933"/>
      </left>
      <right style="thin">
        <color rgb="FF009933"/>
      </right>
      <top style="medium">
        <color rgb="FF009933"/>
      </top>
      <bottom style="thin">
        <color rgb="FF009933"/>
      </bottom>
      <diagonal/>
    </border>
    <border>
      <left style="thin">
        <color rgb="FF009933"/>
      </left>
      <right style="medium">
        <color rgb="FF009933"/>
      </right>
      <top style="medium">
        <color rgb="FF009933"/>
      </top>
      <bottom style="thin">
        <color rgb="FF009933"/>
      </bottom>
      <diagonal/>
    </border>
    <border>
      <left style="medium">
        <color rgb="FF009933"/>
      </left>
      <right/>
      <top/>
      <bottom/>
      <diagonal/>
    </border>
    <border>
      <left/>
      <right style="medium">
        <color rgb="FF009933"/>
      </right>
      <top/>
      <bottom/>
      <diagonal/>
    </border>
    <border>
      <left style="medium">
        <color rgb="FF009933"/>
      </left>
      <right/>
      <top/>
      <bottom style="medium">
        <color rgb="FF009933"/>
      </bottom>
      <diagonal/>
    </border>
    <border>
      <left/>
      <right/>
      <top/>
      <bottom style="medium">
        <color rgb="FF009933"/>
      </bottom>
      <diagonal/>
    </border>
    <border>
      <left/>
      <right style="medium">
        <color rgb="FF009933"/>
      </right>
      <top/>
      <bottom style="medium">
        <color rgb="FF009933"/>
      </bottom>
      <diagonal/>
    </border>
    <border>
      <left style="medium">
        <color rgb="FF009933"/>
      </left>
      <right style="thin">
        <color rgb="FF009933"/>
      </right>
      <top style="thin">
        <color rgb="FF009933"/>
      </top>
      <bottom style="thin">
        <color rgb="FF009933"/>
      </bottom>
      <diagonal/>
    </border>
    <border>
      <left style="thin">
        <color rgb="FF009933"/>
      </left>
      <right style="medium">
        <color rgb="FF009933"/>
      </right>
      <top style="thin">
        <color rgb="FF009933"/>
      </top>
      <bottom style="thin">
        <color rgb="FF009933"/>
      </bottom>
      <diagonal/>
    </border>
    <border>
      <left style="medium">
        <color rgb="FF009933"/>
      </left>
      <right style="thin">
        <color rgb="FF009933"/>
      </right>
      <top style="thin">
        <color rgb="FF009933"/>
      </top>
      <bottom style="medium">
        <color rgb="FF009933"/>
      </bottom>
      <diagonal/>
    </border>
    <border>
      <left style="thin">
        <color rgb="FF009933"/>
      </left>
      <right style="thin">
        <color rgb="FF009933"/>
      </right>
      <top style="thin">
        <color rgb="FF009933"/>
      </top>
      <bottom style="medium">
        <color rgb="FF009933"/>
      </bottom>
      <diagonal/>
    </border>
    <border>
      <left style="thin">
        <color rgb="FF009933"/>
      </left>
      <right style="medium">
        <color rgb="FF009933"/>
      </right>
      <top style="thin">
        <color rgb="FF009933"/>
      </top>
      <bottom style="medium">
        <color rgb="FF009933"/>
      </bottom>
      <diagonal/>
    </border>
    <border>
      <left style="medium">
        <color rgb="FF009933"/>
      </left>
      <right/>
      <top style="medium">
        <color rgb="FF009933"/>
      </top>
      <bottom/>
      <diagonal/>
    </border>
    <border>
      <left/>
      <right/>
      <top style="medium">
        <color rgb="FF009933"/>
      </top>
      <bottom/>
      <diagonal/>
    </border>
    <border>
      <left/>
      <right style="medium">
        <color rgb="FF009933"/>
      </right>
      <top style="medium">
        <color rgb="FF009933"/>
      </top>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right style="hair">
        <color auto="1"/>
      </right>
      <top style="hair">
        <color auto="1"/>
      </top>
      <bottom style="thin">
        <color auto="1"/>
      </bottom>
      <diagonal/>
    </border>
    <border>
      <left/>
      <right style="hair">
        <color auto="1"/>
      </right>
      <top/>
      <bottom style="thin">
        <color auto="1"/>
      </bottom>
      <diagonal/>
    </border>
    <border>
      <left/>
      <right style="hair">
        <color auto="1"/>
      </right>
      <top/>
      <bottom/>
      <diagonal/>
    </border>
    <border>
      <left/>
      <right style="hair">
        <color auto="1"/>
      </right>
      <top style="thin">
        <color auto="1"/>
      </top>
      <bottom/>
      <diagonal/>
    </border>
    <border>
      <left style="hair">
        <color auto="1"/>
      </left>
      <right style="hair">
        <color auto="1"/>
      </right>
      <top style="thin">
        <color auto="1"/>
      </top>
      <bottom style="hair">
        <color auto="1"/>
      </bottom>
      <diagonal/>
    </border>
  </borders>
  <cellStyleXfs count="1">
    <xf numFmtId="0" fontId="0" fillId="0" borderId="0"/>
  </cellStyleXfs>
  <cellXfs count="251">
    <xf numFmtId="0" fontId="0" fillId="0" borderId="0" xfId="0"/>
    <xf numFmtId="0" fontId="0" fillId="0" borderId="0" xfId="0" applyFont="1"/>
    <xf numFmtId="0" fontId="1" fillId="0" borderId="0" xfId="0" applyFont="1"/>
    <xf numFmtId="0" fontId="3" fillId="0" borderId="0" xfId="0" applyFont="1"/>
    <xf numFmtId="0" fontId="5" fillId="0" borderId="0" xfId="0" applyFont="1"/>
    <xf numFmtId="0" fontId="0" fillId="0" borderId="2" xfId="0" applyFont="1" applyBorder="1"/>
    <xf numFmtId="0" fontId="0" fillId="2" borderId="2" xfId="0" applyFill="1" applyBorder="1"/>
    <xf numFmtId="164" fontId="0" fillId="2" borderId="2" xfId="0" applyNumberFormat="1" applyFill="1" applyBorder="1"/>
    <xf numFmtId="0" fontId="0" fillId="0" borderId="0" xfId="0" applyAlignment="1">
      <alignment wrapText="1"/>
    </xf>
    <xf numFmtId="0" fontId="6" fillId="0" borderId="0" xfId="0" applyFont="1"/>
    <xf numFmtId="0" fontId="7" fillId="0" borderId="0" xfId="0" applyFont="1"/>
    <xf numFmtId="164" fontId="7" fillId="0" borderId="0" xfId="0" applyNumberFormat="1" applyFont="1" applyAlignment="1">
      <alignment wrapText="1"/>
    </xf>
    <xf numFmtId="0" fontId="7" fillId="0" borderId="0" xfId="0" applyFont="1" applyProtection="1"/>
    <xf numFmtId="0" fontId="8" fillId="0" borderId="0" xfId="0" applyFont="1" applyAlignment="1">
      <alignment horizontal="center" vertical="center"/>
    </xf>
    <xf numFmtId="0" fontId="6" fillId="0" borderId="0" xfId="0" applyFont="1" applyAlignment="1" applyProtection="1">
      <alignment wrapText="1"/>
    </xf>
    <xf numFmtId="0" fontId="7" fillId="0" borderId="0" xfId="0" applyFont="1" applyAlignment="1" applyProtection="1">
      <alignment wrapText="1"/>
    </xf>
    <xf numFmtId="0" fontId="0" fillId="2" borderId="0" xfId="0" applyFill="1"/>
    <xf numFmtId="0" fontId="7" fillId="0" borderId="0" xfId="0" applyFont="1" applyAlignment="1" applyProtection="1"/>
    <xf numFmtId="0" fontId="0" fillId="3" borderId="0" xfId="0" applyFont="1" applyFill="1"/>
    <xf numFmtId="0" fontId="7" fillId="3" borderId="0" xfId="0" applyFont="1" applyFill="1" applyAlignment="1" applyProtection="1"/>
    <xf numFmtId="0" fontId="9" fillId="0" borderId="0" xfId="0" applyFont="1"/>
    <xf numFmtId="0" fontId="0" fillId="2" borderId="0" xfId="0" applyFill="1" applyAlignment="1">
      <alignment wrapText="1"/>
    </xf>
    <xf numFmtId="0" fontId="0" fillId="0" borderId="0" xfId="0" applyFont="1" applyAlignment="1">
      <alignment wrapText="1"/>
    </xf>
    <xf numFmtId="0" fontId="10" fillId="4" borderId="0" xfId="0" applyFont="1" applyFill="1" applyAlignment="1">
      <alignment wrapText="1"/>
    </xf>
    <xf numFmtId="0" fontId="7" fillId="0" borderId="0" xfId="0" applyFont="1" applyProtection="1"/>
    <xf numFmtId="0" fontId="0" fillId="0" borderId="0" xfId="0"/>
    <xf numFmtId="2" fontId="0" fillId="0" borderId="0" xfId="0" applyNumberFormat="1"/>
    <xf numFmtId="0" fontId="7" fillId="0" borderId="0" xfId="0" applyFont="1" applyAlignment="1" applyProtection="1">
      <alignment wrapText="1"/>
    </xf>
    <xf numFmtId="1" fontId="0" fillId="0" borderId="0" xfId="0" applyNumberFormat="1"/>
    <xf numFmtId="0" fontId="5" fillId="0" borderId="0" xfId="0" applyFont="1" applyAlignment="1">
      <alignment wrapText="1"/>
    </xf>
    <xf numFmtId="0" fontId="3" fillId="0" borderId="0" xfId="0" applyFont="1"/>
    <xf numFmtId="0" fontId="7" fillId="0" borderId="0" xfId="0" applyFont="1" applyAlignment="1" applyProtection="1">
      <alignment horizontal="left" wrapText="1"/>
    </xf>
    <xf numFmtId="1" fontId="5" fillId="0" borderId="0" xfId="0" applyNumberFormat="1" applyFont="1"/>
    <xf numFmtId="0" fontId="5" fillId="0" borderId="0" xfId="0" applyFont="1"/>
    <xf numFmtId="0" fontId="12" fillId="0" borderId="0" xfId="0" applyFont="1" applyProtection="1"/>
    <xf numFmtId="0" fontId="12" fillId="0" borderId="0" xfId="0" applyFont="1" applyProtection="1"/>
    <xf numFmtId="0" fontId="0" fillId="0" borderId="0" xfId="0" applyFont="1"/>
    <xf numFmtId="0" fontId="0" fillId="0" borderId="0" xfId="0" applyBorder="1"/>
    <xf numFmtId="1" fontId="0" fillId="0" borderId="0" xfId="0" applyNumberFormat="1"/>
    <xf numFmtId="0" fontId="13" fillId="0" borderId="0" xfId="0" applyFont="1"/>
    <xf numFmtId="1" fontId="5" fillId="0" borderId="0" xfId="0" applyNumberFormat="1" applyFont="1"/>
    <xf numFmtId="0" fontId="0" fillId="5" borderId="0" xfId="0" applyFont="1" applyFill="1"/>
    <xf numFmtId="165" fontId="0" fillId="0" borderId="0" xfId="0" applyNumberFormat="1"/>
    <xf numFmtId="166" fontId="0" fillId="0" borderId="0" xfId="0" applyNumberFormat="1"/>
    <xf numFmtId="0" fontId="7" fillId="0" borderId="0" xfId="0" applyFont="1" applyAlignment="1" applyProtection="1">
      <alignment horizontal="center"/>
    </xf>
    <xf numFmtId="0" fontId="1" fillId="0" borderId="0" xfId="0" applyFont="1" applyAlignment="1">
      <alignment horizontal="center" vertical="center"/>
    </xf>
    <xf numFmtId="0" fontId="5" fillId="2" borderId="0" xfId="0" applyFont="1" applyFill="1"/>
    <xf numFmtId="0" fontId="15" fillId="0" borderId="0" xfId="0" applyFont="1"/>
    <xf numFmtId="0" fontId="14" fillId="0" borderId="0" xfId="0" applyFont="1"/>
    <xf numFmtId="165" fontId="0" fillId="0" borderId="0" xfId="0" applyNumberFormat="1"/>
    <xf numFmtId="0" fontId="0" fillId="0" borderId="0" xfId="0" applyBorder="1"/>
    <xf numFmtId="0" fontId="0" fillId="0" borderId="7" xfId="0" applyFont="1" applyBorder="1" applyAlignment="1">
      <alignment wrapText="1"/>
    </xf>
    <xf numFmtId="0" fontId="0" fillId="2" borderId="8" xfId="0" applyFill="1" applyBorder="1"/>
    <xf numFmtId="0" fontId="7" fillId="0" borderId="7" xfId="0" applyFont="1" applyBorder="1" applyProtection="1"/>
    <xf numFmtId="0" fontId="0" fillId="0" borderId="7" xfId="0" applyBorder="1"/>
    <xf numFmtId="0" fontId="0" fillId="0" borderId="9" xfId="0" applyFont="1" applyBorder="1"/>
    <xf numFmtId="0" fontId="6" fillId="0" borderId="0" xfId="0" applyFont="1" applyProtection="1"/>
    <xf numFmtId="0" fontId="0" fillId="0" borderId="0" xfId="0" applyAlignment="1">
      <alignment vertical="center"/>
    </xf>
    <xf numFmtId="1" fontId="13" fillId="0" borderId="0" xfId="0" applyNumberFormat="1" applyFont="1" applyAlignment="1">
      <alignment horizontal="center"/>
    </xf>
    <xf numFmtId="0" fontId="17" fillId="0" borderId="0" xfId="0" applyFont="1"/>
    <xf numFmtId="0" fontId="10" fillId="0" borderId="0" xfId="0" applyFont="1" applyProtection="1"/>
    <xf numFmtId="0" fontId="5" fillId="0" borderId="0" xfId="0" applyFont="1" applyAlignment="1">
      <alignment horizontal="center"/>
    </xf>
    <xf numFmtId="1" fontId="5" fillId="0" borderId="0" xfId="0" applyNumberFormat="1" applyFont="1" applyAlignment="1">
      <alignment horizontal="center"/>
    </xf>
    <xf numFmtId="0" fontId="0" fillId="0" borderId="0" xfId="0" applyAlignment="1">
      <alignment horizontal="center"/>
    </xf>
    <xf numFmtId="0" fontId="0" fillId="0" borderId="0" xfId="0" applyAlignment="1">
      <alignment horizontal="left" vertical="center" wrapText="1"/>
    </xf>
    <xf numFmtId="0" fontId="2" fillId="0" borderId="0" xfId="0" applyFont="1" applyAlignment="1">
      <alignment horizontal="center" vertical="center"/>
    </xf>
    <xf numFmtId="0" fontId="0" fillId="0" borderId="0" xfId="0"/>
    <xf numFmtId="0" fontId="0" fillId="0" borderId="0" xfId="0" applyFont="1"/>
    <xf numFmtId="0" fontId="0" fillId="0" borderId="0" xfId="0" applyFont="1" applyAlignment="1">
      <alignment vertical="center"/>
    </xf>
    <xf numFmtId="0" fontId="0" fillId="0" borderId="0" xfId="0" applyFont="1" applyAlignment="1">
      <alignment horizontal="left" vertical="center" wrapText="1"/>
    </xf>
    <xf numFmtId="0" fontId="18" fillId="0" borderId="0" xfId="0" applyFont="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quotePrefix="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0" xfId="0" applyAlignment="1"/>
    <xf numFmtId="168" fontId="5" fillId="0" borderId="0" xfId="0" applyNumberFormat="1" applyFont="1" applyAlignment="1">
      <alignment horizontal="center"/>
    </xf>
    <xf numFmtId="168" fontId="0" fillId="0" borderId="0" xfId="0" applyNumberFormat="1" applyAlignment="1">
      <alignment horizontal="center"/>
    </xf>
    <xf numFmtId="168" fontId="5" fillId="2" borderId="0" xfId="0" applyNumberFormat="1" applyFont="1" applyFill="1" applyAlignment="1">
      <alignment horizontal="center"/>
    </xf>
    <xf numFmtId="168" fontId="15" fillId="2" borderId="0" xfId="0" applyNumberFormat="1" applyFont="1" applyFill="1" applyAlignment="1">
      <alignment horizontal="center"/>
    </xf>
    <xf numFmtId="168" fontId="5" fillId="3" borderId="0" xfId="0" applyNumberFormat="1" applyFont="1" applyFill="1" applyAlignment="1">
      <alignment horizontal="center"/>
    </xf>
    <xf numFmtId="168" fontId="13" fillId="0" borderId="0" xfId="0" applyNumberFormat="1" applyFont="1" applyAlignment="1">
      <alignment horizontal="center"/>
    </xf>
    <xf numFmtId="168" fontId="17" fillId="0" borderId="0" xfId="0" applyNumberFormat="1" applyFont="1" applyAlignment="1">
      <alignment horizontal="center"/>
    </xf>
    <xf numFmtId="0" fontId="12" fillId="0" borderId="0" xfId="0" applyFont="1" applyAlignment="1" applyProtection="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vertical="center" wrapText="1"/>
    </xf>
    <xf numFmtId="1" fontId="0" fillId="0" borderId="0" xfId="0" applyNumberFormat="1" applyAlignment="1">
      <alignment vertical="center"/>
    </xf>
    <xf numFmtId="0" fontId="0" fillId="0" borderId="21" xfId="0" applyBorder="1" applyAlignment="1"/>
    <xf numFmtId="0" fontId="0" fillId="0" borderId="21" xfId="0" applyFont="1" applyBorder="1" applyAlignment="1"/>
    <xf numFmtId="167" fontId="0" fillId="0" borderId="0" xfId="0" applyNumberFormat="1"/>
    <xf numFmtId="167" fontId="13" fillId="0" borderId="0" xfId="0" applyNumberFormat="1" applyFont="1"/>
    <xf numFmtId="168" fontId="0" fillId="0" borderId="0" xfId="0" applyNumberFormat="1"/>
    <xf numFmtId="168" fontId="15" fillId="0" borderId="0" xfId="0" applyNumberFormat="1" applyFont="1"/>
    <xf numFmtId="168" fontId="0" fillId="2" borderId="3" xfId="0" applyNumberFormat="1" applyFill="1" applyBorder="1"/>
    <xf numFmtId="168" fontId="0" fillId="2" borderId="4" xfId="0" applyNumberFormat="1" applyFill="1" applyBorder="1"/>
    <xf numFmtId="168" fontId="0" fillId="2" borderId="5" xfId="0" applyNumberFormat="1" applyFill="1" applyBorder="1"/>
    <xf numFmtId="1" fontId="5" fillId="0" borderId="0" xfId="0" applyNumberFormat="1" applyFont="1" applyAlignment="1">
      <alignment vertical="center"/>
    </xf>
    <xf numFmtId="168" fontId="5" fillId="0" borderId="0" xfId="0" applyNumberFormat="1" applyFont="1"/>
    <xf numFmtId="0" fontId="22" fillId="0" borderId="0" xfId="0" applyFont="1" applyAlignment="1">
      <alignment horizontal="center" vertical="center"/>
    </xf>
    <xf numFmtId="168" fontId="0" fillId="2" borderId="2" xfId="0" applyNumberFormat="1" applyFill="1" applyBorder="1"/>
    <xf numFmtId="168" fontId="0" fillId="0" borderId="9" xfId="0" applyNumberFormat="1" applyFont="1" applyBorder="1"/>
    <xf numFmtId="168" fontId="0" fillId="0" borderId="7" xfId="0" applyNumberFormat="1" applyBorder="1"/>
    <xf numFmtId="168" fontId="0" fillId="2" borderId="7" xfId="0" applyNumberFormat="1" applyFill="1" applyBorder="1"/>
    <xf numFmtId="167" fontId="0" fillId="0" borderId="0" xfId="0" applyNumberFormat="1" applyFont="1"/>
    <xf numFmtId="0" fontId="26" fillId="0" borderId="0" xfId="0" applyFont="1" applyAlignment="1">
      <alignment horizontal="center" vertical="center" wrapText="1"/>
    </xf>
    <xf numFmtId="0" fontId="28" fillId="0" borderId="0" xfId="0" applyFont="1" applyAlignment="1" applyProtection="1">
      <alignment wrapText="1"/>
    </xf>
    <xf numFmtId="0" fontId="27" fillId="0" borderId="0" xfId="0" applyFont="1"/>
    <xf numFmtId="169" fontId="0" fillId="3" borderId="0" xfId="0" applyNumberFormat="1" applyFont="1" applyFill="1"/>
    <xf numFmtId="0" fontId="0" fillId="6" borderId="0" xfId="0" applyFill="1" applyAlignment="1">
      <alignment vertical="center"/>
    </xf>
    <xf numFmtId="0" fontId="27" fillId="0" borderId="0" xfId="0" applyFont="1" applyFill="1" applyBorder="1" applyAlignment="1">
      <alignment vertical="center"/>
    </xf>
    <xf numFmtId="0" fontId="0" fillId="0" borderId="34"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9" xfId="0" applyBorder="1" applyAlignment="1">
      <alignment vertical="center"/>
    </xf>
    <xf numFmtId="0" fontId="30" fillId="0" borderId="35" xfId="0" applyFont="1" applyBorder="1" applyAlignment="1">
      <alignment vertical="center"/>
    </xf>
    <xf numFmtId="0" fontId="20" fillId="0" borderId="35" xfId="0" applyFont="1" applyBorder="1" applyAlignment="1">
      <alignment vertical="center"/>
    </xf>
    <xf numFmtId="0" fontId="30" fillId="0" borderId="38" xfId="0" applyFont="1" applyBorder="1" applyAlignment="1">
      <alignment vertical="center"/>
    </xf>
    <xf numFmtId="0" fontId="20" fillId="0" borderId="38" xfId="0" applyFont="1" applyBorder="1" applyAlignment="1">
      <alignment vertical="center"/>
    </xf>
    <xf numFmtId="0" fontId="5" fillId="0" borderId="0" xfId="0" applyFont="1" applyBorder="1" applyAlignment="1">
      <alignment vertical="center"/>
    </xf>
    <xf numFmtId="0" fontId="0" fillId="7" borderId="0" xfId="0" applyFill="1" applyBorder="1" applyAlignment="1">
      <alignment vertical="center"/>
    </xf>
    <xf numFmtId="0" fontId="0" fillId="7" borderId="0" xfId="0" quotePrefix="1" applyFill="1" applyBorder="1" applyAlignment="1">
      <alignment vertical="center"/>
    </xf>
    <xf numFmtId="0" fontId="32" fillId="0" borderId="0" xfId="0" applyFont="1"/>
    <xf numFmtId="0" fontId="32" fillId="0" borderId="0" xfId="0" applyFont="1" applyAlignment="1">
      <alignment wrapText="1"/>
    </xf>
    <xf numFmtId="0" fontId="28" fillId="0" borderId="0" xfId="0" applyFont="1" applyProtection="1"/>
    <xf numFmtId="0" fontId="28" fillId="0" borderId="0" xfId="0" applyFont="1"/>
    <xf numFmtId="0" fontId="0" fillId="0" borderId="0" xfId="0" applyFill="1"/>
    <xf numFmtId="0" fontId="5" fillId="0" borderId="0" xfId="0" applyFont="1" applyAlignment="1">
      <alignment vertical="center" wrapText="1"/>
    </xf>
    <xf numFmtId="0" fontId="0" fillId="2" borderId="0" xfId="0" applyFill="1" applyAlignment="1">
      <alignment vertical="center" wrapText="1"/>
    </xf>
    <xf numFmtId="0" fontId="0" fillId="2" borderId="0" xfId="0" applyFill="1" applyAlignment="1">
      <alignment vertical="center"/>
    </xf>
    <xf numFmtId="0" fontId="7" fillId="3" borderId="0" xfId="0" applyFont="1" applyFill="1" applyAlignment="1" applyProtection="1">
      <alignment vertical="center" wrapText="1"/>
    </xf>
    <xf numFmtId="167" fontId="0" fillId="2" borderId="0" xfId="0" applyNumberFormat="1" applyFill="1"/>
    <xf numFmtId="0" fontId="34" fillId="0" borderId="0" xfId="0" applyFont="1"/>
    <xf numFmtId="0" fontId="2" fillId="8" borderId="0" xfId="0" applyFont="1" applyFill="1" applyAlignment="1">
      <alignment vertical="center"/>
    </xf>
    <xf numFmtId="168" fontId="0" fillId="8" borderId="2" xfId="0" applyNumberFormat="1" applyFill="1" applyBorder="1" applyAlignment="1">
      <alignment horizontal="center" vertical="center"/>
    </xf>
    <xf numFmtId="168" fontId="0" fillId="2" borderId="0" xfId="0" applyNumberFormat="1" applyFill="1" applyAlignment="1">
      <alignment horizontal="center"/>
    </xf>
    <xf numFmtId="168" fontId="32" fillId="0" borderId="0" xfId="0" applyNumberFormat="1" applyFont="1"/>
    <xf numFmtId="168" fontId="0" fillId="2" borderId="2" xfId="0" applyNumberFormat="1" applyFill="1" applyBorder="1" applyAlignment="1">
      <alignment horizontal="center"/>
    </xf>
    <xf numFmtId="168" fontId="0" fillId="2" borderId="0" xfId="0" applyNumberFormat="1" applyFill="1" applyAlignment="1">
      <alignment horizontal="center" vertical="center"/>
    </xf>
    <xf numFmtId="168" fontId="34" fillId="0" borderId="0" xfId="0" applyNumberFormat="1" applyFont="1"/>
    <xf numFmtId="0" fontId="36" fillId="0" borderId="0" xfId="0" applyFont="1" applyAlignment="1">
      <alignment vertical="center" wrapText="1"/>
    </xf>
    <xf numFmtId="168" fontId="32" fillId="0" borderId="0" xfId="0" applyNumberFormat="1" applyFont="1" applyAlignment="1">
      <alignment vertical="center"/>
    </xf>
    <xf numFmtId="167" fontId="34" fillId="0" borderId="0" xfId="0" applyNumberFormat="1" applyFont="1"/>
    <xf numFmtId="0" fontId="28" fillId="0" borderId="0" xfId="0" applyFont="1" applyAlignment="1">
      <alignment horizontal="left"/>
    </xf>
    <xf numFmtId="0" fontId="0" fillId="0" borderId="41" xfId="0" applyFont="1" applyBorder="1"/>
    <xf numFmtId="0" fontId="0" fillId="0" borderId="42" xfId="0" applyBorder="1"/>
    <xf numFmtId="0" fontId="0" fillId="0" borderId="40" xfId="0" applyFont="1" applyBorder="1"/>
    <xf numFmtId="0" fontId="0" fillId="0" borderId="43" xfId="0" applyFont="1" applyBorder="1"/>
    <xf numFmtId="0" fontId="0" fillId="2" borderId="5" xfId="0" applyFill="1" applyBorder="1"/>
    <xf numFmtId="0" fontId="0" fillId="2" borderId="44" xfId="0" applyFill="1" applyBorder="1"/>
    <xf numFmtId="168" fontId="34" fillId="0" borderId="0" xfId="0" applyNumberFormat="1" applyFont="1" applyAlignment="1">
      <alignment horizontal="center"/>
    </xf>
    <xf numFmtId="0" fontId="34" fillId="0" borderId="0" xfId="0" applyFont="1" applyFill="1"/>
    <xf numFmtId="168" fontId="34" fillId="0" borderId="0" xfId="0" applyNumberFormat="1" applyFont="1" applyFill="1" applyAlignment="1">
      <alignment horizontal="center"/>
    </xf>
    <xf numFmtId="0" fontId="28" fillId="0" borderId="0" xfId="0" applyFont="1" applyAlignment="1">
      <alignment horizontal="left" wrapText="1"/>
    </xf>
    <xf numFmtId="0" fontId="5" fillId="0" borderId="0" xfId="0" applyFont="1" applyAlignment="1">
      <alignment horizontal="center" wrapText="1"/>
    </xf>
    <xf numFmtId="0" fontId="36" fillId="0" borderId="0" xfId="0" applyFont="1" applyAlignment="1">
      <alignment wrapText="1"/>
    </xf>
    <xf numFmtId="167" fontId="36" fillId="0" borderId="0" xfId="0" applyNumberFormat="1" applyFont="1" applyAlignment="1">
      <alignment horizontal="center"/>
    </xf>
    <xf numFmtId="0" fontId="5" fillId="7" borderId="0" xfId="0" applyFont="1" applyFill="1" applyBorder="1" applyAlignment="1">
      <alignment horizontal="left" vertical="center" wrapText="1"/>
    </xf>
    <xf numFmtId="0" fontId="19" fillId="0" borderId="0" xfId="0" applyFont="1" applyAlignment="1">
      <alignment horizontal="center" vertical="center"/>
    </xf>
    <xf numFmtId="0" fontId="29" fillId="0" borderId="0" xfId="0" applyFont="1" applyAlignment="1">
      <alignment horizontal="center" vertical="center"/>
    </xf>
    <xf numFmtId="0" fontId="5" fillId="0" borderId="0" xfId="0" quotePrefix="1" applyFont="1" applyBorder="1" applyAlignment="1">
      <alignment horizontal="left" vertical="center" wrapText="1"/>
    </xf>
    <xf numFmtId="0" fontId="5" fillId="0" borderId="14" xfId="0" quotePrefix="1" applyFont="1" applyBorder="1" applyAlignment="1">
      <alignment horizontal="left" vertical="center" wrapText="1"/>
    </xf>
    <xf numFmtId="0" fontId="5" fillId="0" borderId="0" xfId="0" quotePrefix="1" applyFont="1" applyFill="1" applyBorder="1" applyAlignment="1">
      <alignment horizontal="left" vertical="center" wrapText="1"/>
    </xf>
    <xf numFmtId="0" fontId="5" fillId="0" borderId="14" xfId="0" quotePrefix="1" applyFont="1" applyFill="1" applyBorder="1" applyAlignment="1">
      <alignment horizontal="left" vertical="center" wrapText="1"/>
    </xf>
    <xf numFmtId="0" fontId="24" fillId="0" borderId="0" xfId="0" applyFont="1" applyAlignment="1">
      <alignment horizontal="center" vertical="center"/>
    </xf>
    <xf numFmtId="0" fontId="2" fillId="0" borderId="0" xfId="0" applyFont="1" applyAlignment="1">
      <alignment horizontal="center" vertical="center"/>
    </xf>
    <xf numFmtId="0" fontId="0" fillId="0" borderId="18" xfId="0" applyFont="1" applyBorder="1" applyAlignment="1">
      <alignment horizontal="left" vertical="top"/>
    </xf>
    <xf numFmtId="0" fontId="0" fillId="0" borderId="19" xfId="0" applyFont="1" applyBorder="1" applyAlignment="1">
      <alignment horizontal="left" vertical="top"/>
    </xf>
    <xf numFmtId="0" fontId="0" fillId="0" borderId="20" xfId="0" applyFont="1" applyBorder="1" applyAlignment="1">
      <alignment horizontal="left" vertical="top"/>
    </xf>
    <xf numFmtId="0" fontId="0" fillId="0" borderId="26" xfId="0" applyFont="1" applyBorder="1" applyAlignment="1">
      <alignment horizontal="left" vertical="top"/>
    </xf>
    <xf numFmtId="0" fontId="0" fillId="0" borderId="1" xfId="0" applyFont="1" applyBorder="1" applyAlignment="1">
      <alignment horizontal="left" vertical="top"/>
    </xf>
    <xf numFmtId="0" fontId="0" fillId="0" borderId="27" xfId="0" applyFont="1" applyBorder="1" applyAlignment="1">
      <alignment horizontal="left" vertical="top"/>
    </xf>
    <xf numFmtId="0" fontId="0" fillId="0" borderId="28" xfId="0" applyFont="1" applyBorder="1" applyAlignment="1">
      <alignment horizontal="left" vertical="top"/>
    </xf>
    <xf numFmtId="0" fontId="0" fillId="0" borderId="29" xfId="0" applyFont="1" applyBorder="1" applyAlignment="1">
      <alignment horizontal="left" vertical="top"/>
    </xf>
    <xf numFmtId="0" fontId="0" fillId="0" borderId="30" xfId="0" applyFont="1" applyBorder="1" applyAlignment="1">
      <alignment horizontal="left" vertical="top"/>
    </xf>
    <xf numFmtId="0" fontId="21"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26"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6" xfId="0" applyBorder="1" applyAlignment="1">
      <alignment horizontal="left" vertical="center"/>
    </xf>
    <xf numFmtId="0" fontId="0" fillId="0" borderId="1"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22" fillId="0" borderId="0" xfId="0" applyFont="1" applyAlignment="1">
      <alignment horizontal="center" vertical="center"/>
    </xf>
    <xf numFmtId="0" fontId="11" fillId="0" borderId="0" xfId="0" applyFont="1" applyAlignment="1">
      <alignment horizontal="left" vertical="center" wrapText="1"/>
    </xf>
    <xf numFmtId="0" fontId="0" fillId="0" borderId="21" xfId="0" applyBorder="1"/>
    <xf numFmtId="0" fontId="0" fillId="0" borderId="0"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21" xfId="0" applyBorder="1" applyAlignment="1">
      <alignment horizontal="center"/>
    </xf>
    <xf numFmtId="0" fontId="0" fillId="0" borderId="0"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33" fillId="0" borderId="0" xfId="0" applyFont="1" applyAlignment="1" applyProtection="1">
      <alignment horizontal="center" vertical="center"/>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28" fillId="0" borderId="0" xfId="0" applyFont="1" applyAlignment="1" applyProtection="1">
      <alignment horizontal="left" wrapText="1"/>
    </xf>
    <xf numFmtId="0" fontId="0" fillId="0" borderId="0" xfId="0" applyFont="1" applyAlignment="1">
      <alignment horizontal="left" vertical="center" wrapText="1"/>
    </xf>
    <xf numFmtId="0" fontId="26" fillId="0" borderId="0" xfId="0" applyFont="1" applyAlignment="1">
      <alignment horizontal="center" vertical="center" wrapText="1" shrinkToFit="1"/>
    </xf>
    <xf numFmtId="0" fontId="35" fillId="0" borderId="0" xfId="0" applyFont="1" applyAlignment="1">
      <alignment horizontal="center" vertical="center"/>
    </xf>
    <xf numFmtId="0" fontId="0" fillId="0" borderId="6" xfId="0" applyFont="1" applyBorder="1" applyAlignment="1">
      <alignment vertical="center"/>
    </xf>
    <xf numFmtId="0" fontId="0" fillId="0" borderId="18" xfId="0" applyBorder="1"/>
    <xf numFmtId="0" fontId="0" fillId="0" borderId="19" xfId="0" applyBorder="1"/>
    <xf numFmtId="0" fontId="0" fillId="0" borderId="20" xfId="0" applyBorder="1"/>
    <xf numFmtId="0" fontId="0" fillId="0" borderId="26" xfId="0" applyBorder="1"/>
    <xf numFmtId="0" fontId="0" fillId="0" borderId="1" xfId="0" applyBorder="1"/>
    <xf numFmtId="0" fontId="0" fillId="0" borderId="27" xfId="0" applyBorder="1"/>
    <xf numFmtId="0" fontId="0" fillId="0" borderId="28" xfId="0" applyBorder="1"/>
    <xf numFmtId="0" fontId="0" fillId="0" borderId="29" xfId="0" applyBorder="1"/>
    <xf numFmtId="0" fontId="0" fillId="0" borderId="30" xfId="0" applyBorder="1"/>
    <xf numFmtId="0" fontId="16" fillId="0" borderId="0" xfId="0" applyFont="1" applyAlignment="1" applyProtection="1">
      <alignment horizontal="left" vertical="top" wrapText="1"/>
    </xf>
    <xf numFmtId="0" fontId="0" fillId="0" borderId="43" xfId="0" applyFont="1" applyBorder="1" applyAlignment="1">
      <alignment vertical="center"/>
    </xf>
    <xf numFmtId="0" fontId="0" fillId="0" borderId="7" xfId="0" applyFont="1" applyBorder="1" applyAlignment="1">
      <alignment vertical="center"/>
    </xf>
    <xf numFmtId="0" fontId="0" fillId="0" borderId="42" xfId="0" applyFont="1" applyBorder="1" applyAlignment="1">
      <alignment vertical="center"/>
    </xf>
    <xf numFmtId="0" fontId="0" fillId="0" borderId="41" xfId="0" applyFont="1" applyBorder="1" applyAlignment="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3" fillId="0" borderId="0" xfId="0" applyFont="1" applyAlignment="1">
      <alignment horizontal="center" vertical="center"/>
    </xf>
    <xf numFmtId="0" fontId="26" fillId="0" borderId="0" xfId="0" applyFont="1" applyAlignment="1">
      <alignment horizontal="center" vertical="center" wrapText="1"/>
    </xf>
    <xf numFmtId="0" fontId="0" fillId="0" borderId="0" xfId="0" applyFont="1" applyAlignment="1">
      <alignment vertical="center"/>
    </xf>
    <xf numFmtId="0" fontId="0" fillId="0" borderId="0" xfId="0" applyFont="1" applyAlignment="1">
      <alignment vertical="center" wrapText="1"/>
    </xf>
    <xf numFmtId="0" fontId="28" fillId="0" borderId="0" xfId="0" applyFont="1" applyAlignment="1">
      <alignment horizontal="left" vertical="center" wrapText="1"/>
    </xf>
    <xf numFmtId="0" fontId="25"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indexedColors>
      <rgbColor rgb="FF000000"/>
      <rgbColor rgb="FFFFFFFF"/>
      <rgbColor rgb="FFFF3333"/>
      <rgbColor rgb="FF66FF00"/>
      <rgbColor rgb="FF0000FF"/>
      <rgbColor rgb="FFFFFF66"/>
      <rgbColor rgb="FFFF00FF"/>
      <rgbColor rgb="FF00FFFF"/>
      <rgbColor rgb="FF800000"/>
      <rgbColor rgb="FF009933"/>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FF33"/>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9900"/>
      <color rgb="FF99FF33"/>
      <color rgb="FF009933"/>
      <color rgb="FFFFFF99"/>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409575</xdr:rowOff>
    </xdr:from>
    <xdr:to>
      <xdr:col>3</xdr:col>
      <xdr:colOff>266475</xdr:colOff>
      <xdr:row>3</xdr:row>
      <xdr:rowOff>211200</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09575"/>
          <a:ext cx="1800000" cy="897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266700</xdr:colOff>
      <xdr:row>42</xdr:row>
      <xdr:rowOff>9525</xdr:rowOff>
    </xdr:from>
    <xdr:to>
      <xdr:col>6</xdr:col>
      <xdr:colOff>755175</xdr:colOff>
      <xdr:row>45</xdr:row>
      <xdr:rowOff>151650</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0075" y="10477500"/>
          <a:ext cx="1260000" cy="627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704850</xdr:colOff>
      <xdr:row>55</xdr:row>
      <xdr:rowOff>9525</xdr:rowOff>
    </xdr:from>
    <xdr:to>
      <xdr:col>2</xdr:col>
      <xdr:colOff>983775</xdr:colOff>
      <xdr:row>58</xdr:row>
      <xdr:rowOff>151650</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91125" y="10115550"/>
          <a:ext cx="1260000" cy="627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276225</xdr:colOff>
      <xdr:row>60</xdr:row>
      <xdr:rowOff>0</xdr:rowOff>
    </xdr:from>
    <xdr:to>
      <xdr:col>2</xdr:col>
      <xdr:colOff>764700</xdr:colOff>
      <xdr:row>63</xdr:row>
      <xdr:rowOff>142125</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0675" y="10582275"/>
          <a:ext cx="1260000" cy="627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276225</xdr:colOff>
      <xdr:row>48</xdr:row>
      <xdr:rowOff>19050</xdr:rowOff>
    </xdr:from>
    <xdr:to>
      <xdr:col>2</xdr:col>
      <xdr:colOff>764700</xdr:colOff>
      <xdr:row>52</xdr:row>
      <xdr:rowOff>2425</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500" y="9039225"/>
          <a:ext cx="1260000" cy="627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76200</xdr:colOff>
      <xdr:row>36</xdr:row>
      <xdr:rowOff>19050</xdr:rowOff>
    </xdr:from>
    <xdr:to>
      <xdr:col>1</xdr:col>
      <xdr:colOff>1336200</xdr:colOff>
      <xdr:row>39</xdr:row>
      <xdr:rowOff>161175</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7175" y="5772150"/>
          <a:ext cx="1260000" cy="627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4943475</xdr:colOff>
      <xdr:row>67</xdr:row>
      <xdr:rowOff>0</xdr:rowOff>
    </xdr:from>
    <xdr:to>
      <xdr:col>3</xdr:col>
      <xdr:colOff>12225</xdr:colOff>
      <xdr:row>70</xdr:row>
      <xdr:rowOff>142125</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10706100"/>
          <a:ext cx="1260000" cy="6279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1057275</xdr:colOff>
      <xdr:row>51</xdr:row>
      <xdr:rowOff>19050</xdr:rowOff>
    </xdr:from>
    <xdr:to>
      <xdr:col>3</xdr:col>
      <xdr:colOff>1098075</xdr:colOff>
      <xdr:row>54</xdr:row>
      <xdr:rowOff>161175</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6325" y="8705850"/>
          <a:ext cx="1260000" cy="6279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857250</xdr:colOff>
      <xdr:row>32</xdr:row>
      <xdr:rowOff>152400</xdr:rowOff>
    </xdr:from>
    <xdr:to>
      <xdr:col>3</xdr:col>
      <xdr:colOff>12225</xdr:colOff>
      <xdr:row>36</xdr:row>
      <xdr:rowOff>132600</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81350" y="6696075"/>
          <a:ext cx="1260000" cy="6279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6"/>
  <sheetViews>
    <sheetView showGridLines="0" tabSelected="1" zoomScaleNormal="100" zoomScalePageLayoutView="60" workbookViewId="0"/>
  </sheetViews>
  <sheetFormatPr baseColWidth="10" defaultColWidth="11.5703125" defaultRowHeight="12.75" x14ac:dyDescent="0.2"/>
  <cols>
    <col min="1" max="1" width="5.7109375" customWidth="1"/>
    <col min="2" max="2" width="11.5703125" style="25"/>
    <col min="11" max="11" width="25.42578125" customWidth="1"/>
    <col min="12" max="12" width="5.7109375" customWidth="1"/>
  </cols>
  <sheetData>
    <row r="1" spans="2:11" s="25" customFormat="1" ht="45" customHeight="1" x14ac:dyDescent="0.2"/>
    <row r="2" spans="2:11" ht="32.1" customHeight="1" x14ac:dyDescent="0.2">
      <c r="C2" s="167" t="s">
        <v>217</v>
      </c>
      <c r="D2" s="167"/>
      <c r="E2" s="167"/>
      <c r="F2" s="167"/>
      <c r="G2" s="167"/>
      <c r="H2" s="167"/>
      <c r="I2" s="167"/>
      <c r="J2" s="167"/>
      <c r="K2" s="167"/>
    </row>
    <row r="3" spans="2:11" s="25" customFormat="1" ht="9.9499999999999993" customHeight="1" x14ac:dyDescent="0.2">
      <c r="C3" s="81"/>
      <c r="D3" s="81"/>
      <c r="E3" s="81"/>
      <c r="F3" s="81"/>
      <c r="G3" s="81"/>
      <c r="H3" s="81"/>
      <c r="I3" s="81"/>
    </row>
    <row r="4" spans="2:11" ht="26.25" x14ac:dyDescent="0.2">
      <c r="C4" s="168" t="s">
        <v>0</v>
      </c>
      <c r="D4" s="168"/>
      <c r="E4" s="168"/>
      <c r="F4" s="168"/>
      <c r="G4" s="168"/>
      <c r="H4" s="168"/>
      <c r="I4" s="168"/>
      <c r="J4" s="168"/>
      <c r="K4" s="168"/>
    </row>
    <row r="6" spans="2:11" s="57" customFormat="1" ht="9.9499999999999993" customHeight="1" x14ac:dyDescent="0.2">
      <c r="B6" s="129"/>
      <c r="C6" s="129"/>
      <c r="D6" s="129"/>
      <c r="E6" s="129"/>
      <c r="F6" s="129"/>
      <c r="G6" s="129"/>
      <c r="H6" s="129"/>
      <c r="I6" s="129"/>
      <c r="J6" s="129"/>
      <c r="K6" s="129"/>
    </row>
    <row r="7" spans="2:11" s="57" customFormat="1" ht="89.25" customHeight="1" x14ac:dyDescent="0.2">
      <c r="B7" s="129"/>
      <c r="C7" s="166" t="s">
        <v>261</v>
      </c>
      <c r="D7" s="166"/>
      <c r="E7" s="166"/>
      <c r="F7" s="166"/>
      <c r="G7" s="166"/>
      <c r="H7" s="166"/>
      <c r="I7" s="166"/>
      <c r="J7" s="166"/>
      <c r="K7" s="166"/>
    </row>
    <row r="8" spans="2:11" s="57" customFormat="1" ht="9.9499999999999993" customHeight="1" x14ac:dyDescent="0.2">
      <c r="B8" s="129"/>
      <c r="C8" s="129"/>
      <c r="D8" s="129"/>
      <c r="E8" s="129"/>
      <c r="F8" s="129"/>
      <c r="G8" s="129"/>
      <c r="H8" s="129"/>
      <c r="I8" s="129"/>
      <c r="J8" s="129"/>
      <c r="K8" s="129"/>
    </row>
    <row r="9" spans="2:11" s="57" customFormat="1" ht="20.100000000000001" customHeight="1" x14ac:dyDescent="0.2">
      <c r="B9" s="129"/>
      <c r="C9" s="129" t="s">
        <v>1</v>
      </c>
      <c r="D9" s="129"/>
      <c r="E9" s="129"/>
      <c r="F9" s="129"/>
      <c r="G9" s="129"/>
      <c r="H9" s="129"/>
      <c r="I9" s="129"/>
      <c r="J9" s="129"/>
      <c r="K9" s="129"/>
    </row>
    <row r="10" spans="2:11" s="57" customFormat="1" ht="20.100000000000001" customHeight="1" x14ac:dyDescent="0.2">
      <c r="B10" s="129"/>
      <c r="C10" s="130" t="s">
        <v>207</v>
      </c>
      <c r="D10" s="129"/>
      <c r="E10" s="129"/>
      <c r="F10" s="129"/>
      <c r="G10" s="129"/>
      <c r="H10" s="129"/>
      <c r="I10" s="129"/>
      <c r="J10" s="129"/>
      <c r="K10" s="129"/>
    </row>
    <row r="11" spans="2:11" s="57" customFormat="1" ht="20.100000000000001" customHeight="1" x14ac:dyDescent="0.2">
      <c r="B11" s="129"/>
      <c r="C11" s="130" t="s">
        <v>208</v>
      </c>
      <c r="D11" s="129"/>
      <c r="E11" s="129"/>
      <c r="F11" s="129"/>
      <c r="G11" s="129"/>
      <c r="H11" s="129"/>
      <c r="I11" s="129"/>
      <c r="J11" s="129"/>
      <c r="K11" s="129"/>
    </row>
    <row r="12" spans="2:11" s="57" customFormat="1" ht="20.100000000000001" customHeight="1" x14ac:dyDescent="0.2">
      <c r="B12" s="129"/>
      <c r="C12" s="130" t="s">
        <v>209</v>
      </c>
      <c r="D12" s="129"/>
      <c r="E12" s="129"/>
      <c r="F12" s="129"/>
      <c r="G12" s="129"/>
      <c r="H12" s="129"/>
      <c r="I12" s="129"/>
      <c r="J12" s="129"/>
      <c r="K12" s="129"/>
    </row>
    <row r="13" spans="2:11" s="57" customFormat="1" ht="20.100000000000001" customHeight="1" x14ac:dyDescent="0.2">
      <c r="B13" s="129"/>
      <c r="C13" s="130" t="s">
        <v>210</v>
      </c>
      <c r="D13" s="129"/>
      <c r="E13" s="129"/>
      <c r="F13" s="129"/>
      <c r="G13" s="129"/>
      <c r="H13" s="129"/>
      <c r="I13" s="129"/>
      <c r="J13" s="129"/>
      <c r="K13" s="129"/>
    </row>
    <row r="14" spans="2:11" s="57" customFormat="1" ht="20.100000000000001" customHeight="1" x14ac:dyDescent="0.2">
      <c r="B14" s="129"/>
      <c r="C14" s="130" t="s">
        <v>211</v>
      </c>
      <c r="D14" s="129"/>
      <c r="E14" s="129"/>
      <c r="F14" s="129"/>
      <c r="G14" s="129"/>
      <c r="H14" s="129"/>
      <c r="I14" s="129"/>
      <c r="J14" s="129"/>
      <c r="K14" s="129"/>
    </row>
    <row r="15" spans="2:11" s="57" customFormat="1" ht="9.9499999999999993" customHeight="1" x14ac:dyDescent="0.2">
      <c r="B15" s="129"/>
      <c r="C15" s="130"/>
      <c r="D15" s="129"/>
      <c r="E15" s="129"/>
      <c r="F15" s="129"/>
      <c r="G15" s="129"/>
      <c r="H15" s="129"/>
      <c r="I15" s="129"/>
      <c r="J15" s="129"/>
      <c r="K15" s="129"/>
    </row>
    <row r="17" spans="2:11" s="57" customFormat="1" ht="20.100000000000001" customHeight="1" x14ac:dyDescent="0.2">
      <c r="C17" s="118" t="s">
        <v>212</v>
      </c>
      <c r="D17" s="118"/>
      <c r="E17" s="118"/>
      <c r="F17" s="118"/>
      <c r="G17" s="118"/>
    </row>
    <row r="18" spans="2:11" s="57" customFormat="1" ht="20.100000000000001" customHeight="1" x14ac:dyDescent="0.2">
      <c r="C18" s="57" t="s">
        <v>213</v>
      </c>
    </row>
    <row r="19" spans="2:11" s="57" customFormat="1" ht="20.100000000000001" customHeight="1" x14ac:dyDescent="0.2"/>
    <row r="20" spans="2:11" s="57" customFormat="1" ht="20.100000000000001" customHeight="1" x14ac:dyDescent="0.2">
      <c r="C20" s="119" t="s">
        <v>235</v>
      </c>
    </row>
    <row r="21" spans="2:11" s="57" customFormat="1" ht="20.100000000000001" customHeight="1" x14ac:dyDescent="0.2"/>
    <row r="22" spans="2:11" s="57" customFormat="1" ht="20.100000000000001" customHeight="1" x14ac:dyDescent="0.2">
      <c r="C22" s="70" t="s">
        <v>215</v>
      </c>
    </row>
    <row r="23" spans="2:11" s="57" customFormat="1" ht="20.100000000000001" customHeight="1" x14ac:dyDescent="0.2">
      <c r="C23" s="70" t="s">
        <v>214</v>
      </c>
    </row>
    <row r="24" spans="2:11" s="57" customFormat="1" ht="20.100000000000001" customHeight="1" thickBot="1" x14ac:dyDescent="0.25"/>
    <row r="25" spans="2:11" s="57" customFormat="1" ht="9.9499999999999993" customHeight="1" x14ac:dyDescent="0.2">
      <c r="B25" s="71"/>
      <c r="C25" s="72"/>
      <c r="D25" s="72"/>
      <c r="E25" s="72"/>
      <c r="F25" s="72"/>
      <c r="G25" s="72"/>
      <c r="H25" s="72"/>
      <c r="I25" s="72"/>
      <c r="J25" s="72"/>
      <c r="K25" s="73"/>
    </row>
    <row r="26" spans="2:11" s="57" customFormat="1" ht="20.100000000000001" customHeight="1" x14ac:dyDescent="0.2">
      <c r="B26" s="74"/>
      <c r="C26" s="128" t="s">
        <v>216</v>
      </c>
      <c r="D26" s="75"/>
      <c r="E26" s="75"/>
      <c r="F26" s="75"/>
      <c r="G26" s="75"/>
      <c r="H26" s="75"/>
      <c r="I26" s="75"/>
      <c r="J26" s="75"/>
      <c r="K26" s="76"/>
    </row>
    <row r="27" spans="2:11" s="57" customFormat="1" ht="41.25" customHeight="1" x14ac:dyDescent="0.2">
      <c r="B27" s="74"/>
      <c r="C27" s="169" t="s">
        <v>256</v>
      </c>
      <c r="D27" s="169"/>
      <c r="E27" s="169"/>
      <c r="F27" s="169"/>
      <c r="G27" s="169"/>
      <c r="H27" s="169"/>
      <c r="I27" s="169"/>
      <c r="J27" s="169"/>
      <c r="K27" s="170"/>
    </row>
    <row r="28" spans="2:11" s="57" customFormat="1" ht="28.5" customHeight="1" x14ac:dyDescent="0.2">
      <c r="B28" s="74"/>
      <c r="C28" s="171" t="s">
        <v>259</v>
      </c>
      <c r="D28" s="171"/>
      <c r="E28" s="171"/>
      <c r="F28" s="171"/>
      <c r="G28" s="171"/>
      <c r="H28" s="171"/>
      <c r="I28" s="171"/>
      <c r="J28" s="171"/>
      <c r="K28" s="172"/>
    </row>
    <row r="29" spans="2:11" s="57" customFormat="1" ht="9.9499999999999993" customHeight="1" thickBot="1" x14ac:dyDescent="0.25">
      <c r="B29" s="77"/>
      <c r="C29" s="78"/>
      <c r="D29" s="79"/>
      <c r="E29" s="79"/>
      <c r="F29" s="79"/>
      <c r="G29" s="79"/>
      <c r="H29" s="79"/>
      <c r="I29" s="79"/>
      <c r="J29" s="79"/>
      <c r="K29" s="80"/>
    </row>
    <row r="35" spans="2:11" s="57" customFormat="1" ht="20.100000000000001" customHeight="1" x14ac:dyDescent="0.2">
      <c r="B35" s="120"/>
      <c r="C35" s="124" t="s">
        <v>237</v>
      </c>
      <c r="D35" s="125"/>
      <c r="E35" s="125"/>
      <c r="F35" s="125"/>
      <c r="G35" s="125"/>
      <c r="H35" s="125"/>
      <c r="I35" s="125"/>
      <c r="J35" s="125"/>
      <c r="K35" s="121"/>
    </row>
    <row r="36" spans="2:11" s="57" customFormat="1" ht="20.100000000000001" customHeight="1" x14ac:dyDescent="0.2">
      <c r="B36" s="122"/>
      <c r="C36" s="126" t="s">
        <v>236</v>
      </c>
      <c r="D36" s="127"/>
      <c r="E36" s="127"/>
      <c r="F36" s="127"/>
      <c r="G36" s="127"/>
      <c r="H36" s="127"/>
      <c r="I36" s="127"/>
      <c r="J36" s="127"/>
      <c r="K36" s="123"/>
    </row>
  </sheetData>
  <mergeCells count="5">
    <mergeCell ref="C7:K7"/>
    <mergeCell ref="C2:K2"/>
    <mergeCell ref="C4:K4"/>
    <mergeCell ref="C27:K27"/>
    <mergeCell ref="C28:K28"/>
  </mergeCells>
  <printOptions horizontalCentered="1"/>
  <pageMargins left="0.78740157480314965" right="0.78740157480314965" top="1.0629921259842521" bottom="1.0236220472440944" header="0.78740157480314965" footer="0.78740157480314965"/>
  <pageSetup paperSize="9" scale="61" orientation="portrait" useFirstPageNumber="1" r:id="rId1"/>
  <headerFooter>
    <oddHeader>&amp;COutil développé dans le cadre du Programme pour l’émergence d’une filière régionale « Chevreaux de boucherie », 
 avec le soutien de la Région Auvergne-Rhône-Alpes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6"/>
  <sheetViews>
    <sheetView showGridLines="0" zoomScaleNormal="100" zoomScalePageLayoutView="60" workbookViewId="0">
      <selection activeCell="B25" sqref="B25"/>
    </sheetView>
  </sheetViews>
  <sheetFormatPr baseColWidth="10" defaultColWidth="8.7109375" defaultRowHeight="12.75" x14ac:dyDescent="0.2"/>
  <cols>
    <col min="1" max="1" width="22.5703125"/>
    <col min="2" max="2" width="56.140625"/>
    <col min="3" max="3" width="15"/>
    <col min="4" max="4" width="14"/>
    <col min="5" max="1025" width="11.5703125"/>
  </cols>
  <sheetData>
    <row r="1" spans="2:7" ht="19.5" x14ac:dyDescent="0.3">
      <c r="B1" s="2"/>
    </row>
    <row r="2" spans="2:7" ht="41.25" x14ac:dyDescent="0.2">
      <c r="B2" s="173" t="s">
        <v>217</v>
      </c>
      <c r="C2" s="173"/>
      <c r="D2" s="173"/>
      <c r="E2" s="173"/>
      <c r="F2" s="173"/>
      <c r="G2" s="173"/>
    </row>
    <row r="3" spans="2:7" ht="15" x14ac:dyDescent="0.2">
      <c r="B3" s="174" t="s">
        <v>2</v>
      </c>
      <c r="C3" s="174"/>
      <c r="D3" s="174"/>
      <c r="E3" s="174"/>
      <c r="F3" s="174"/>
      <c r="G3" s="174"/>
    </row>
    <row r="4" spans="2:7" s="66" customFormat="1" ht="15" x14ac:dyDescent="0.2">
      <c r="B4" s="65"/>
      <c r="C4" s="65"/>
      <c r="D4" s="65"/>
      <c r="E4" s="65"/>
      <c r="F4" s="65"/>
      <c r="G4" s="65"/>
    </row>
    <row r="6" spans="2:7" x14ac:dyDescent="0.2">
      <c r="B6" t="s">
        <v>3</v>
      </c>
    </row>
    <row r="8" spans="2:7" x14ac:dyDescent="0.2">
      <c r="B8" t="s">
        <v>4</v>
      </c>
    </row>
    <row r="10" spans="2:7" x14ac:dyDescent="0.2">
      <c r="B10" t="s">
        <v>5</v>
      </c>
    </row>
    <row r="12" spans="2:7" ht="15.75" x14ac:dyDescent="0.25">
      <c r="B12" s="131" t="s">
        <v>6</v>
      </c>
    </row>
    <row r="13" spans="2:7" ht="9.9499999999999993" customHeight="1" thickBot="1" x14ac:dyDescent="0.25"/>
    <row r="14" spans="2:7" x14ac:dyDescent="0.2">
      <c r="B14" s="175" t="s">
        <v>7</v>
      </c>
      <c r="C14" s="176"/>
      <c r="D14" s="176"/>
      <c r="E14" s="176"/>
      <c r="F14" s="176"/>
      <c r="G14" s="177"/>
    </row>
    <row r="15" spans="2:7" x14ac:dyDescent="0.2">
      <c r="B15" s="178"/>
      <c r="C15" s="179"/>
      <c r="D15" s="179"/>
      <c r="E15" s="179"/>
      <c r="F15" s="179"/>
      <c r="G15" s="180"/>
    </row>
    <row r="16" spans="2:7" x14ac:dyDescent="0.2">
      <c r="B16" s="178"/>
      <c r="C16" s="179"/>
      <c r="D16" s="179"/>
      <c r="E16" s="179"/>
      <c r="F16" s="179"/>
      <c r="G16" s="180"/>
    </row>
    <row r="17" spans="2:7" x14ac:dyDescent="0.2">
      <c r="B17" s="178"/>
      <c r="C17" s="179"/>
      <c r="D17" s="179"/>
      <c r="E17" s="179"/>
      <c r="F17" s="179"/>
      <c r="G17" s="180"/>
    </row>
    <row r="18" spans="2:7" x14ac:dyDescent="0.2">
      <c r="B18" s="178"/>
      <c r="C18" s="179"/>
      <c r="D18" s="179"/>
      <c r="E18" s="179"/>
      <c r="F18" s="179"/>
      <c r="G18" s="180"/>
    </row>
    <row r="19" spans="2:7" x14ac:dyDescent="0.2">
      <c r="B19" s="178"/>
      <c r="C19" s="179"/>
      <c r="D19" s="179"/>
      <c r="E19" s="179"/>
      <c r="F19" s="179"/>
      <c r="G19" s="180"/>
    </row>
    <row r="20" spans="2:7" x14ac:dyDescent="0.2">
      <c r="B20" s="178"/>
      <c r="C20" s="179"/>
      <c r="D20" s="179"/>
      <c r="E20" s="179"/>
      <c r="F20" s="179"/>
      <c r="G20" s="180"/>
    </row>
    <row r="21" spans="2:7" x14ac:dyDescent="0.2">
      <c r="B21" s="178"/>
      <c r="C21" s="179"/>
      <c r="D21" s="179"/>
      <c r="E21" s="179"/>
      <c r="F21" s="179"/>
      <c r="G21" s="180"/>
    </row>
    <row r="22" spans="2:7" ht="158.85" customHeight="1" x14ac:dyDescent="0.2">
      <c r="B22" s="178"/>
      <c r="C22" s="179"/>
      <c r="D22" s="179"/>
      <c r="E22" s="179"/>
      <c r="F22" s="179"/>
      <c r="G22" s="180"/>
    </row>
    <row r="23" spans="2:7" ht="13.5" thickBot="1" x14ac:dyDescent="0.25">
      <c r="B23" s="181"/>
      <c r="C23" s="182"/>
      <c r="D23" s="182"/>
      <c r="E23" s="182"/>
      <c r="F23" s="182"/>
      <c r="G23" s="183"/>
    </row>
    <row r="25" spans="2:7" ht="15.75" x14ac:dyDescent="0.25">
      <c r="B25" s="131" t="s">
        <v>8</v>
      </c>
    </row>
    <row r="26" spans="2:7" s="66" customFormat="1" ht="9.9499999999999993" customHeight="1" thickBot="1" x14ac:dyDescent="0.3">
      <c r="B26" s="30"/>
    </row>
    <row r="27" spans="2:7" ht="12.75" customHeight="1" x14ac:dyDescent="0.2">
      <c r="B27" s="184" t="s">
        <v>218</v>
      </c>
      <c r="C27" s="185"/>
      <c r="D27" s="185"/>
      <c r="E27" s="185"/>
      <c r="F27" s="185"/>
      <c r="G27" s="186"/>
    </row>
    <row r="28" spans="2:7" x14ac:dyDescent="0.2">
      <c r="B28" s="187"/>
      <c r="C28" s="188"/>
      <c r="D28" s="188"/>
      <c r="E28" s="188"/>
      <c r="F28" s="188"/>
      <c r="G28" s="189"/>
    </row>
    <row r="29" spans="2:7" x14ac:dyDescent="0.2">
      <c r="B29" s="187"/>
      <c r="C29" s="188"/>
      <c r="D29" s="188"/>
      <c r="E29" s="188"/>
      <c r="F29" s="188"/>
      <c r="G29" s="189"/>
    </row>
    <row r="30" spans="2:7" x14ac:dyDescent="0.2">
      <c r="B30" s="187"/>
      <c r="C30" s="188"/>
      <c r="D30" s="188"/>
      <c r="E30" s="188"/>
      <c r="F30" s="188"/>
      <c r="G30" s="189"/>
    </row>
    <row r="31" spans="2:7" x14ac:dyDescent="0.2">
      <c r="B31" s="187"/>
      <c r="C31" s="188"/>
      <c r="D31" s="188"/>
      <c r="E31" s="188"/>
      <c r="F31" s="188"/>
      <c r="G31" s="189"/>
    </row>
    <row r="32" spans="2:7" x14ac:dyDescent="0.2">
      <c r="B32" s="187"/>
      <c r="C32" s="188"/>
      <c r="D32" s="188"/>
      <c r="E32" s="188"/>
      <c r="F32" s="188"/>
      <c r="G32" s="189"/>
    </row>
    <row r="33" spans="2:7" x14ac:dyDescent="0.2">
      <c r="B33" s="187"/>
      <c r="C33" s="188"/>
      <c r="D33" s="188"/>
      <c r="E33" s="188"/>
      <c r="F33" s="188"/>
      <c r="G33" s="189"/>
    </row>
    <row r="34" spans="2:7" x14ac:dyDescent="0.2">
      <c r="B34" s="187"/>
      <c r="C34" s="188"/>
      <c r="D34" s="188"/>
      <c r="E34" s="188"/>
      <c r="F34" s="188"/>
      <c r="G34" s="189"/>
    </row>
    <row r="35" spans="2:7" ht="138.19999999999999" customHeight="1" x14ac:dyDescent="0.2">
      <c r="B35" s="187"/>
      <c r="C35" s="188"/>
      <c r="D35" s="188"/>
      <c r="E35" s="188"/>
      <c r="F35" s="188"/>
      <c r="G35" s="189"/>
    </row>
    <row r="36" spans="2:7" ht="13.5" thickBot="1" x14ac:dyDescent="0.25">
      <c r="B36" s="190" t="s">
        <v>9</v>
      </c>
      <c r="C36" s="191"/>
      <c r="D36" s="191"/>
      <c r="E36" s="191"/>
      <c r="F36" s="191"/>
      <c r="G36" s="192"/>
    </row>
    <row r="37" spans="2:7" x14ac:dyDescent="0.2">
      <c r="B37" s="4"/>
    </row>
    <row r="38" spans="2:7" ht="15.75" x14ac:dyDescent="0.25">
      <c r="B38" s="3" t="s">
        <v>10</v>
      </c>
    </row>
    <row r="39" spans="2:7" ht="9.9499999999999993" customHeight="1" x14ac:dyDescent="0.2"/>
    <row r="40" spans="2:7" x14ac:dyDescent="0.2">
      <c r="B40" s="5" t="s">
        <v>11</v>
      </c>
      <c r="C40" s="6">
        <v>100</v>
      </c>
    </row>
    <row r="41" spans="2:7" x14ac:dyDescent="0.2">
      <c r="B41" s="5" t="s">
        <v>12</v>
      </c>
      <c r="C41" s="6">
        <v>70</v>
      </c>
    </row>
    <row r="42" spans="2:7" x14ac:dyDescent="0.2">
      <c r="B42" s="5" t="s">
        <v>13</v>
      </c>
      <c r="C42" s="6">
        <v>30</v>
      </c>
    </row>
    <row r="43" spans="2:7" x14ac:dyDescent="0.2">
      <c r="B43" s="5" t="s">
        <v>14</v>
      </c>
      <c r="C43" s="7">
        <v>0.2</v>
      </c>
      <c r="D43" s="8"/>
    </row>
    <row r="44" spans="2:7" x14ac:dyDescent="0.2">
      <c r="B44" s="5" t="s">
        <v>15</v>
      </c>
      <c r="C44" s="5">
        <f>+C41*(1-C43)</f>
        <v>56</v>
      </c>
    </row>
    <row r="45" spans="2:7" x14ac:dyDescent="0.2">
      <c r="B45" s="5" t="s">
        <v>16</v>
      </c>
      <c r="C45" s="5">
        <f>+C42*(1-C43)</f>
        <v>24</v>
      </c>
    </row>
    <row r="46" spans="2:7" ht="13.5" thickBot="1" x14ac:dyDescent="0.25"/>
    <row r="47" spans="2:7" x14ac:dyDescent="0.2">
      <c r="B47" s="193"/>
      <c r="C47" s="194"/>
      <c r="D47" s="194"/>
      <c r="E47" s="194"/>
      <c r="F47" s="194"/>
      <c r="G47" s="195"/>
    </row>
    <row r="48" spans="2:7" x14ac:dyDescent="0.2">
      <c r="B48" s="196"/>
      <c r="C48" s="197"/>
      <c r="D48" s="197"/>
      <c r="E48" s="197"/>
      <c r="F48" s="197"/>
      <c r="G48" s="198"/>
    </row>
    <row r="49" spans="2:7" x14ac:dyDescent="0.2">
      <c r="B49" s="196"/>
      <c r="C49" s="197"/>
      <c r="D49" s="197"/>
      <c r="E49" s="197"/>
      <c r="F49" s="197"/>
      <c r="G49" s="198"/>
    </row>
    <row r="50" spans="2:7" x14ac:dyDescent="0.2">
      <c r="B50" s="196"/>
      <c r="C50" s="197"/>
      <c r="D50" s="197"/>
      <c r="E50" s="197"/>
      <c r="F50" s="197"/>
      <c r="G50" s="198"/>
    </row>
    <row r="51" spans="2:7" x14ac:dyDescent="0.2">
      <c r="B51" s="196"/>
      <c r="C51" s="197"/>
      <c r="D51" s="197"/>
      <c r="E51" s="197"/>
      <c r="F51" s="197"/>
      <c r="G51" s="198"/>
    </row>
    <row r="52" spans="2:7" ht="13.5" thickBot="1" x14ac:dyDescent="0.25">
      <c r="B52" s="199"/>
      <c r="C52" s="200"/>
      <c r="D52" s="200"/>
      <c r="E52" s="200"/>
      <c r="F52" s="200"/>
      <c r="G52" s="201"/>
    </row>
    <row r="54" spans="2:7" x14ac:dyDescent="0.2">
      <c r="B54" s="9" t="s">
        <v>17</v>
      </c>
      <c r="C54" s="10" t="s">
        <v>18</v>
      </c>
      <c r="D54" s="10" t="s">
        <v>19</v>
      </c>
    </row>
    <row r="55" spans="2:7" x14ac:dyDescent="0.2">
      <c r="B55" s="10" t="s">
        <v>20</v>
      </c>
      <c r="C55" s="11">
        <v>0.08</v>
      </c>
      <c r="D55" s="11">
        <v>3.5000000000000003E-2</v>
      </c>
    </row>
    <row r="56" spans="2:7" x14ac:dyDescent="0.2">
      <c r="B56" s="10" t="s">
        <v>21</v>
      </c>
      <c r="C56" s="11">
        <v>0.03</v>
      </c>
      <c r="D56" s="11">
        <v>0.13</v>
      </c>
    </row>
  </sheetData>
  <mergeCells count="5">
    <mergeCell ref="B2:G2"/>
    <mergeCell ref="B3:G3"/>
    <mergeCell ref="B14:G23"/>
    <mergeCell ref="B27:G36"/>
    <mergeCell ref="B47:G52"/>
  </mergeCells>
  <printOptions horizontalCentered="1"/>
  <pageMargins left="0.78740157480314965" right="0.78740157480314965" top="1.0629921259842521" bottom="1.0236220472440944" header="0.78740157480314965" footer="0.78740157480314965"/>
  <pageSetup paperSize="9" scale="72" orientation="portrait" r:id="rId1"/>
  <headerFooter>
    <oddHeader>&amp;COutil développé dans le cadre du Programme pour l’émergence d’une filière régionale « Chevreaux de boucherie », 
 avec le soutien de la Région Auvergne-Rhône-Alpes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5"/>
  <sheetViews>
    <sheetView zoomScaleNormal="100" zoomScalePageLayoutView="60" workbookViewId="0"/>
  </sheetViews>
  <sheetFormatPr baseColWidth="10" defaultColWidth="8.7109375" defaultRowHeight="12.75" x14ac:dyDescent="0.2"/>
  <cols>
    <col min="1" max="1" width="67.28515625"/>
    <col min="2" max="2" width="14.7109375"/>
    <col min="3" max="3" width="14.85546875"/>
    <col min="4" max="4" width="58.85546875" style="12"/>
    <col min="5" max="1025" width="11.5703125"/>
  </cols>
  <sheetData>
    <row r="1" spans="1:4" ht="35.1" customHeight="1" x14ac:dyDescent="0.2">
      <c r="A1" s="13"/>
    </row>
    <row r="2" spans="1:4" ht="31.5" x14ac:dyDescent="0.2">
      <c r="A2" s="202" t="s">
        <v>238</v>
      </c>
      <c r="B2" s="202"/>
      <c r="C2" s="202"/>
    </row>
    <row r="3" spans="1:4" ht="24.95" customHeight="1" x14ac:dyDescent="0.2"/>
    <row r="4" spans="1:4" x14ac:dyDescent="0.2">
      <c r="A4" s="115" t="s">
        <v>219</v>
      </c>
    </row>
    <row r="5" spans="1:4" ht="15.75" x14ac:dyDescent="0.25">
      <c r="A5" s="131" t="s">
        <v>23</v>
      </c>
      <c r="B5" s="4" t="s">
        <v>24</v>
      </c>
      <c r="C5" s="4" t="s">
        <v>19</v>
      </c>
      <c r="D5" s="14" t="s">
        <v>25</v>
      </c>
    </row>
    <row r="6" spans="1:4" x14ac:dyDescent="0.2">
      <c r="A6" t="s">
        <v>26</v>
      </c>
      <c r="B6">
        <v>4.8</v>
      </c>
      <c r="C6">
        <v>4.8</v>
      </c>
      <c r="D6" s="15"/>
    </row>
    <row r="7" spans="1:4" ht="13.9" customHeight="1" x14ac:dyDescent="0.2">
      <c r="A7" s="4" t="s">
        <v>239</v>
      </c>
      <c r="B7" s="16">
        <v>30</v>
      </c>
      <c r="C7" s="16">
        <v>49</v>
      </c>
      <c r="D7" s="15" t="s">
        <v>27</v>
      </c>
    </row>
    <row r="8" spans="1:4" ht="15.4" customHeight="1" x14ac:dyDescent="0.2">
      <c r="A8" t="s">
        <v>240</v>
      </c>
      <c r="B8">
        <v>10</v>
      </c>
      <c r="C8">
        <v>14</v>
      </c>
      <c r="D8" s="17" t="s">
        <v>28</v>
      </c>
    </row>
    <row r="9" spans="1:4" x14ac:dyDescent="0.2">
      <c r="A9" s="4" t="s">
        <v>29</v>
      </c>
      <c r="B9" s="16">
        <v>5.5</v>
      </c>
      <c r="C9" s="16">
        <v>8.3000000000000007</v>
      </c>
      <c r="D9" s="17" t="s">
        <v>30</v>
      </c>
    </row>
    <row r="10" spans="1:4" x14ac:dyDescent="0.2">
      <c r="A10" s="18" t="s">
        <v>31</v>
      </c>
      <c r="B10" s="117">
        <f>(B8-B6)/(B7-8)</f>
        <v>0.23636363636363636</v>
      </c>
      <c r="C10" s="117">
        <f>(C8-C6)/(C7-8)</f>
        <v>0.224390243902439</v>
      </c>
      <c r="D10" s="19" t="s">
        <v>32</v>
      </c>
    </row>
    <row r="11" spans="1:4" ht="16.7" customHeight="1" x14ac:dyDescent="0.2"/>
    <row r="12" spans="1:4" x14ac:dyDescent="0.2">
      <c r="A12" s="4" t="s">
        <v>33</v>
      </c>
      <c r="D12" s="15"/>
    </row>
    <row r="13" spans="1:4" x14ac:dyDescent="0.2">
      <c r="A13" t="s">
        <v>34</v>
      </c>
      <c r="B13" s="20">
        <f>D13*3</f>
        <v>2.25</v>
      </c>
      <c r="C13" s="20">
        <f>+B13</f>
        <v>2.25</v>
      </c>
      <c r="D13" s="31">
        <v>0.75</v>
      </c>
    </row>
    <row r="14" spans="1:4" x14ac:dyDescent="0.2">
      <c r="A14" t="s">
        <v>35</v>
      </c>
      <c r="B14" s="20">
        <f>D14*4</f>
        <v>4</v>
      </c>
      <c r="C14" s="20">
        <f>+B14</f>
        <v>4</v>
      </c>
      <c r="D14" s="31">
        <v>1</v>
      </c>
    </row>
    <row r="15" spans="1:4" x14ac:dyDescent="0.2">
      <c r="A15" t="s">
        <v>36</v>
      </c>
      <c r="B15">
        <f>D15*8</f>
        <v>12</v>
      </c>
      <c r="C15">
        <f>+B15</f>
        <v>12</v>
      </c>
      <c r="D15" s="31">
        <v>1.5</v>
      </c>
    </row>
    <row r="16" spans="1:4" x14ac:dyDescent="0.2">
      <c r="A16" t="s">
        <v>37</v>
      </c>
      <c r="B16">
        <f>D16*(B7-15)</f>
        <v>37.5</v>
      </c>
      <c r="C16">
        <f>+(C7-15)*D16</f>
        <v>85</v>
      </c>
      <c r="D16" s="31">
        <v>2.5</v>
      </c>
    </row>
    <row r="17" spans="1:4" x14ac:dyDescent="0.2">
      <c r="D17" s="15"/>
    </row>
    <row r="19" spans="1:4" x14ac:dyDescent="0.2">
      <c r="A19" t="s">
        <v>241</v>
      </c>
      <c r="B19" s="21">
        <v>150</v>
      </c>
      <c r="C19" s="16">
        <f>+B19</f>
        <v>150</v>
      </c>
      <c r="D19" s="12" t="s">
        <v>38</v>
      </c>
    </row>
    <row r="20" spans="1:4" x14ac:dyDescent="0.2">
      <c r="A20" s="22" t="s">
        <v>39</v>
      </c>
      <c r="B20" s="21">
        <v>2.2000000000000002</v>
      </c>
      <c r="C20" s="16">
        <v>2.2000000000000002</v>
      </c>
      <c r="D20" s="12" t="s">
        <v>40</v>
      </c>
    </row>
    <row r="21" spans="1:4" x14ac:dyDescent="0.2">
      <c r="A21" s="22" t="s">
        <v>41</v>
      </c>
      <c r="B21" s="21"/>
      <c r="C21" s="16">
        <v>0</v>
      </c>
    </row>
    <row r="22" spans="1:4" ht="25.5" x14ac:dyDescent="0.2">
      <c r="A22" s="23" t="s">
        <v>42</v>
      </c>
      <c r="B22" s="22"/>
      <c r="C22" s="1"/>
      <c r="D22" s="24"/>
    </row>
    <row r="23" spans="1:4" x14ac:dyDescent="0.2">
      <c r="A23" t="s">
        <v>43</v>
      </c>
      <c r="B23">
        <v>0</v>
      </c>
      <c r="C23">
        <v>0</v>
      </c>
      <c r="D23" s="12" t="s">
        <v>44</v>
      </c>
    </row>
    <row r="24" spans="1:4" x14ac:dyDescent="0.2">
      <c r="A24" s="4" t="s">
        <v>242</v>
      </c>
      <c r="C24" s="25">
        <v>150</v>
      </c>
      <c r="D24" s="12" t="s">
        <v>45</v>
      </c>
    </row>
    <row r="25" spans="1:4" x14ac:dyDescent="0.2">
      <c r="A25" s="4" t="s">
        <v>243</v>
      </c>
      <c r="C25" s="25">
        <v>320</v>
      </c>
      <c r="D25" s="12" t="s">
        <v>46</v>
      </c>
    </row>
    <row r="26" spans="1:4" x14ac:dyDescent="0.2">
      <c r="A26" s="4" t="s">
        <v>244</v>
      </c>
      <c r="B26">
        <f>+(B7*0.5)/4</f>
        <v>3.75</v>
      </c>
      <c r="C26" s="26">
        <f>+(30*0.5/4+(C7-30)*0.5/3)</f>
        <v>6.9166666666666661</v>
      </c>
      <c r="D26" s="27" t="s">
        <v>47</v>
      </c>
    </row>
    <row r="27" spans="1:4" x14ac:dyDescent="0.2">
      <c r="A27" s="135" t="s">
        <v>257</v>
      </c>
      <c r="B27" s="28">
        <f>+SUM(B13:B16)</f>
        <v>55.75</v>
      </c>
      <c r="C27" s="28">
        <f>+SUM(C13:C16)</f>
        <v>103.25</v>
      </c>
      <c r="D27" s="27" t="s">
        <v>48</v>
      </c>
    </row>
    <row r="28" spans="1:4" s="57" customFormat="1" ht="76.5" x14ac:dyDescent="0.2">
      <c r="A28" s="136" t="s">
        <v>245</v>
      </c>
      <c r="B28" s="137">
        <v>0.76</v>
      </c>
      <c r="C28" s="138">
        <v>0.76</v>
      </c>
      <c r="D28" s="139" t="s">
        <v>49</v>
      </c>
    </row>
    <row r="29" spans="1:4" x14ac:dyDescent="0.2">
      <c r="D29" s="15"/>
    </row>
    <row r="30" spans="1:4" x14ac:dyDescent="0.2">
      <c r="D30" s="15"/>
    </row>
    <row r="31" spans="1:4" ht="15.75" x14ac:dyDescent="0.25">
      <c r="A31" s="131" t="s">
        <v>50</v>
      </c>
      <c r="D31" s="15"/>
    </row>
    <row r="32" spans="1:4" x14ac:dyDescent="0.2">
      <c r="A32" t="s">
        <v>51</v>
      </c>
      <c r="B32" s="140">
        <f>6*1.05</f>
        <v>6.3000000000000007</v>
      </c>
      <c r="C32" s="140">
        <f>6*1.05</f>
        <v>6.3000000000000007</v>
      </c>
      <c r="D32" s="17" t="s">
        <v>52</v>
      </c>
    </row>
    <row r="33" spans="1:4" x14ac:dyDescent="0.2">
      <c r="A33" t="s">
        <v>53</v>
      </c>
      <c r="B33" s="99">
        <f>+((B15+B16)*B19/1000*B20*1.05)+(B15+B16)*B21/1000</f>
        <v>17.151750000000003</v>
      </c>
      <c r="C33" s="99">
        <f>+((C15+C16)*C19/1000*C20*1.05)+(C15+C16)*C21/1000</f>
        <v>33.610500000000009</v>
      </c>
      <c r="D33" s="12" t="s">
        <v>54</v>
      </c>
    </row>
    <row r="34" spans="1:4" x14ac:dyDescent="0.2">
      <c r="A34" t="s">
        <v>55</v>
      </c>
      <c r="B34" s="99"/>
      <c r="C34" s="99">
        <f>+(C7-45)*0.2*C25/1000</f>
        <v>0.25600000000000001</v>
      </c>
      <c r="D34" s="27" t="s">
        <v>56</v>
      </c>
    </row>
    <row r="35" spans="1:4" x14ac:dyDescent="0.2">
      <c r="A35" t="s">
        <v>57</v>
      </c>
      <c r="B35" s="140">
        <v>0</v>
      </c>
      <c r="C35" s="140"/>
      <c r="D35" s="27" t="s">
        <v>58</v>
      </c>
    </row>
    <row r="36" spans="1:4" x14ac:dyDescent="0.2">
      <c r="A36" t="s">
        <v>59</v>
      </c>
      <c r="B36" s="140">
        <f>+B23*B24</f>
        <v>0</v>
      </c>
      <c r="C36" s="140">
        <f>+C23*C24</f>
        <v>0</v>
      </c>
    </row>
    <row r="37" spans="1:4" x14ac:dyDescent="0.2">
      <c r="A37" t="s">
        <v>60</v>
      </c>
      <c r="B37" s="140">
        <f>+B26*100/1000</f>
        <v>0.375</v>
      </c>
      <c r="C37" s="140">
        <f>+C26*100/1000</f>
        <v>0.69166666666666665</v>
      </c>
      <c r="D37" s="27" t="s">
        <v>61</v>
      </c>
    </row>
    <row r="38" spans="1:4" x14ac:dyDescent="0.2">
      <c r="A38" t="s">
        <v>62</v>
      </c>
      <c r="B38" s="140">
        <v>1</v>
      </c>
      <c r="C38" s="140">
        <v>1</v>
      </c>
      <c r="D38" s="31" t="s">
        <v>63</v>
      </c>
    </row>
    <row r="39" spans="1:4" x14ac:dyDescent="0.2">
      <c r="A39" t="s">
        <v>64</v>
      </c>
      <c r="B39" s="140">
        <v>1</v>
      </c>
      <c r="C39" s="140">
        <v>1</v>
      </c>
      <c r="D39" s="15" t="s">
        <v>65</v>
      </c>
    </row>
    <row r="40" spans="1:4" x14ac:dyDescent="0.2">
      <c r="B40" s="99"/>
      <c r="C40" s="99"/>
      <c r="D40" s="15"/>
    </row>
    <row r="41" spans="1:4" x14ac:dyDescent="0.2">
      <c r="A41" t="s">
        <v>66</v>
      </c>
      <c r="B41" s="99">
        <f>9.76*1.5*B28</f>
        <v>11.1264</v>
      </c>
      <c r="C41" s="99">
        <f>9.76*1.5*C28</f>
        <v>11.1264</v>
      </c>
      <c r="D41" s="15" t="s">
        <v>67</v>
      </c>
    </row>
    <row r="42" spans="1:4" x14ac:dyDescent="0.2">
      <c r="B42" s="99"/>
      <c r="C42" s="99"/>
    </row>
    <row r="43" spans="1:4" ht="15.75" x14ac:dyDescent="0.25">
      <c r="A43" s="131" t="s">
        <v>68</v>
      </c>
      <c r="B43" s="145">
        <f>+SUM(B32:B40)</f>
        <v>25.826750000000004</v>
      </c>
      <c r="C43" s="145">
        <f>+SUM(C32:C40)</f>
        <v>42.858166666666683</v>
      </c>
    </row>
    <row r="44" spans="1:4" ht="31.5" x14ac:dyDescent="0.25">
      <c r="A44" s="132" t="s">
        <v>69</v>
      </c>
      <c r="B44" s="145">
        <f>+SUM(B32:B41)</f>
        <v>36.953150000000008</v>
      </c>
      <c r="C44" s="145">
        <f>+SUM(C32:C41)</f>
        <v>53.98456666666668</v>
      </c>
    </row>
    <row r="45" spans="1:4" x14ac:dyDescent="0.2">
      <c r="A45" s="4"/>
      <c r="B45" s="32"/>
      <c r="C45" s="32"/>
    </row>
    <row r="46" spans="1:4" ht="23.45" customHeight="1" x14ac:dyDescent="0.2">
      <c r="A46" s="203" t="s">
        <v>220</v>
      </c>
      <c r="B46" s="203"/>
      <c r="C46" s="203"/>
    </row>
    <row r="48" spans="1:4" ht="13.5" thickBot="1" x14ac:dyDescent="0.25">
      <c r="A48" s="33" t="s">
        <v>70</v>
      </c>
    </row>
    <row r="49" spans="1:3" x14ac:dyDescent="0.2">
      <c r="A49" s="193"/>
      <c r="B49" s="194"/>
      <c r="C49" s="195"/>
    </row>
    <row r="50" spans="1:3" x14ac:dyDescent="0.2">
      <c r="A50" s="204"/>
      <c r="B50" s="205"/>
      <c r="C50" s="206"/>
    </row>
    <row r="51" spans="1:3" x14ac:dyDescent="0.2">
      <c r="A51" s="204"/>
      <c r="B51" s="205"/>
      <c r="C51" s="206"/>
    </row>
    <row r="52" spans="1:3" x14ac:dyDescent="0.2">
      <c r="A52" s="204"/>
      <c r="B52" s="205"/>
      <c r="C52" s="206"/>
    </row>
    <row r="53" spans="1:3" x14ac:dyDescent="0.2">
      <c r="A53" s="204"/>
      <c r="B53" s="205"/>
      <c r="C53" s="206"/>
    </row>
    <row r="54" spans="1:3" x14ac:dyDescent="0.2">
      <c r="A54" s="204"/>
      <c r="B54" s="205"/>
      <c r="C54" s="206"/>
    </row>
    <row r="55" spans="1:3" ht="13.5" thickBot="1" x14ac:dyDescent="0.25">
      <c r="A55" s="207"/>
      <c r="B55" s="208"/>
      <c r="C55" s="209"/>
    </row>
  </sheetData>
  <mergeCells count="3">
    <mergeCell ref="A2:C2"/>
    <mergeCell ref="A46:C46"/>
    <mergeCell ref="A49:C55"/>
  </mergeCells>
  <printOptions horizontalCentered="1"/>
  <pageMargins left="0.78740157480314965" right="0.78740157480314965" top="1.0629921259842521" bottom="1.0236220472440944" header="0.78740157480314965" footer="0.78740157480314965"/>
  <pageSetup paperSize="9" scale="76" orientation="portrait" r:id="rId1"/>
  <headerFooter>
    <oddHeader>&amp;C&amp;9Outil développé dans le cadre du Programme pour l’émergence d’une filière régionale « Chevreaux de boucherie », 
 avec le soutien de la Région Auvergne-Rhône-Alpes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zoomScaleNormal="100" zoomScalePageLayoutView="60" workbookViewId="0">
      <selection activeCell="C7" sqref="C7"/>
    </sheetView>
  </sheetViews>
  <sheetFormatPr baseColWidth="10" defaultColWidth="8.7109375" defaultRowHeight="12.75" x14ac:dyDescent="0.2"/>
  <cols>
    <col min="1" max="1" width="76.85546875" customWidth="1"/>
    <col min="2" max="3" width="11.5703125" style="63"/>
    <col min="4" max="4" width="6.85546875" style="1"/>
    <col min="5" max="5" width="6.85546875"/>
    <col min="6" max="1025" width="11.5703125"/>
  </cols>
  <sheetData>
    <row r="1" spans="1:5" ht="35.1" customHeight="1" x14ac:dyDescent="0.2">
      <c r="A1" s="13"/>
    </row>
    <row r="2" spans="1:5" ht="31.5" x14ac:dyDescent="0.2">
      <c r="A2" s="202" t="s">
        <v>246</v>
      </c>
      <c r="B2" s="202"/>
      <c r="C2" s="202"/>
    </row>
    <row r="3" spans="1:5" ht="26.25" x14ac:dyDescent="0.2">
      <c r="A3" s="13"/>
    </row>
    <row r="4" spans="1:5" ht="12.4" customHeight="1" x14ac:dyDescent="0.2">
      <c r="A4" s="133" t="s">
        <v>71</v>
      </c>
      <c r="B4" s="89"/>
      <c r="C4" s="89"/>
      <c r="D4" s="35"/>
    </row>
    <row r="5" spans="1:5" x14ac:dyDescent="0.2">
      <c r="A5" s="133" t="s">
        <v>72</v>
      </c>
      <c r="B5" s="89"/>
      <c r="C5" s="89"/>
      <c r="D5" s="35"/>
    </row>
    <row r="6" spans="1:5" x14ac:dyDescent="0.2">
      <c r="A6" s="34"/>
      <c r="B6" s="89"/>
      <c r="C6" s="89"/>
      <c r="D6" s="35"/>
    </row>
    <row r="7" spans="1:5" ht="26.25" x14ac:dyDescent="0.25">
      <c r="A7" s="131" t="s">
        <v>73</v>
      </c>
      <c r="B7" s="163" t="s">
        <v>24</v>
      </c>
      <c r="C7" s="163" t="s">
        <v>19</v>
      </c>
      <c r="D7" s="33"/>
    </row>
    <row r="8" spans="1:5" ht="15.75" x14ac:dyDescent="0.25">
      <c r="A8" s="131" t="s">
        <v>222</v>
      </c>
    </row>
    <row r="9" spans="1:5" x14ac:dyDescent="0.2">
      <c r="A9" s="36" t="s">
        <v>74</v>
      </c>
      <c r="B9" s="90">
        <f>+Description!C44</f>
        <v>56</v>
      </c>
      <c r="C9" s="90">
        <f>+B9</f>
        <v>56</v>
      </c>
      <c r="D9" s="37"/>
    </row>
    <row r="10" spans="1:5" x14ac:dyDescent="0.2">
      <c r="A10" t="s">
        <v>75</v>
      </c>
      <c r="B10" s="144">
        <f>385*5</f>
        <v>1925</v>
      </c>
      <c r="C10" s="144">
        <f>385*5</f>
        <v>1925</v>
      </c>
      <c r="E10" t="s">
        <v>76</v>
      </c>
    </row>
    <row r="11" spans="1:5" x14ac:dyDescent="0.2">
      <c r="A11" t="s">
        <v>77</v>
      </c>
      <c r="B11" s="144">
        <v>0</v>
      </c>
      <c r="C11" s="144">
        <v>0</v>
      </c>
    </row>
    <row r="12" spans="1:5" x14ac:dyDescent="0.2">
      <c r="A12" s="1" t="s">
        <v>78</v>
      </c>
      <c r="B12" s="83">
        <f>+(B10-B11)/5</f>
        <v>385</v>
      </c>
      <c r="C12" s="83">
        <f>+(C10-C11)/5</f>
        <v>385</v>
      </c>
      <c r="D12" s="38"/>
    </row>
    <row r="13" spans="1:5" x14ac:dyDescent="0.2">
      <c r="A13" s="1" t="s">
        <v>79</v>
      </c>
      <c r="B13" s="83">
        <f>-CUMIPMT(0.03,5,B10,1,5,0)/5</f>
        <v>35.332549946108749</v>
      </c>
      <c r="C13" s="83">
        <f>-CUMIPMT(0.03,5,C10,1,5,0)/5</f>
        <v>35.332549946108749</v>
      </c>
      <c r="D13" s="38"/>
      <c r="E13" t="s">
        <v>80</v>
      </c>
    </row>
    <row r="14" spans="1:5" x14ac:dyDescent="0.2">
      <c r="A14" t="s">
        <v>81</v>
      </c>
      <c r="B14" s="144">
        <f>1*B9*2</f>
        <v>112</v>
      </c>
      <c r="C14" s="144">
        <f>1*C9*4</f>
        <v>224</v>
      </c>
      <c r="D14" s="38"/>
    </row>
    <row r="15" spans="1:5" x14ac:dyDescent="0.2">
      <c r="A15" s="141" t="s">
        <v>82</v>
      </c>
      <c r="B15" s="87">
        <f>+SUM(B12:B14)/B9</f>
        <v>9.5059383918947997</v>
      </c>
      <c r="C15" s="87">
        <f>+SUM(C12:C14)/C9</f>
        <v>11.5059383918948</v>
      </c>
      <c r="D15" s="40"/>
    </row>
    <row r="18" spans="1:8" ht="15.75" x14ac:dyDescent="0.25">
      <c r="A18" s="131" t="s">
        <v>83</v>
      </c>
    </row>
    <row r="19" spans="1:8" ht="15.75" x14ac:dyDescent="0.25">
      <c r="A19" s="131" t="s">
        <v>84</v>
      </c>
    </row>
    <row r="20" spans="1:8" x14ac:dyDescent="0.2">
      <c r="A20" t="s">
        <v>85</v>
      </c>
      <c r="B20" s="91">
        <v>200</v>
      </c>
      <c r="C20" s="91">
        <v>200</v>
      </c>
      <c r="D20" s="37"/>
      <c r="E20" s="41" t="s">
        <v>86</v>
      </c>
      <c r="F20" s="41"/>
      <c r="G20" s="41"/>
      <c r="H20" s="41"/>
    </row>
    <row r="21" spans="1:8" x14ac:dyDescent="0.2">
      <c r="A21" t="s">
        <v>87</v>
      </c>
      <c r="B21" s="92">
        <v>40</v>
      </c>
      <c r="C21" s="92">
        <v>40</v>
      </c>
      <c r="D21" s="37"/>
    </row>
    <row r="22" spans="1:8" x14ac:dyDescent="0.2">
      <c r="A22" t="s">
        <v>88</v>
      </c>
      <c r="B22" s="93">
        <f>+Description!C44</f>
        <v>56</v>
      </c>
      <c r="C22" s="93">
        <f>+Description!C44</f>
        <v>56</v>
      </c>
      <c r="D22" s="37"/>
    </row>
    <row r="23" spans="1:8" x14ac:dyDescent="0.2">
      <c r="A23" t="s">
        <v>89</v>
      </c>
      <c r="B23" s="94">
        <f>+Description!C45</f>
        <v>24</v>
      </c>
      <c r="C23" s="94">
        <f>+Description!C45</f>
        <v>24</v>
      </c>
      <c r="D23" s="37"/>
    </row>
    <row r="24" spans="1:8" x14ac:dyDescent="0.2">
      <c r="A24" t="s">
        <v>90</v>
      </c>
      <c r="B24" s="63">
        <v>1</v>
      </c>
      <c r="C24" s="63">
        <v>2</v>
      </c>
    </row>
    <row r="25" spans="1:8" x14ac:dyDescent="0.2">
      <c r="A25" t="s">
        <v>91</v>
      </c>
      <c r="B25" s="63">
        <v>7</v>
      </c>
      <c r="C25" s="63">
        <v>7</v>
      </c>
    </row>
    <row r="26" spans="1:8" x14ac:dyDescent="0.2">
      <c r="A26" t="s">
        <v>92</v>
      </c>
      <c r="B26" s="63">
        <f>+B21*(B24*B22/(+B22*B24+B23*B25))</f>
        <v>10</v>
      </c>
      <c r="C26" s="63">
        <f>+C21*(C24*C22/(+C22*C24+C23*C25))</f>
        <v>16</v>
      </c>
      <c r="D26" s="38"/>
    </row>
    <row r="28" spans="1:8" x14ac:dyDescent="0.2">
      <c r="A28" t="s">
        <v>93</v>
      </c>
      <c r="B28" s="146">
        <v>40000</v>
      </c>
      <c r="C28" s="146">
        <v>40000</v>
      </c>
      <c r="D28" s="37"/>
    </row>
    <row r="29" spans="1:8" ht="12.75" customHeight="1" x14ac:dyDescent="0.2">
      <c r="A29" t="s">
        <v>225</v>
      </c>
      <c r="B29" s="83">
        <f>+B28*(B26/B20)</f>
        <v>2000</v>
      </c>
      <c r="C29" s="83">
        <f>+C28*(C26/C20)</f>
        <v>3200</v>
      </c>
      <c r="D29" s="38"/>
    </row>
    <row r="30" spans="1:8" s="57" customFormat="1" ht="12.75" customHeight="1" x14ac:dyDescent="0.2">
      <c r="A30" s="95" t="s">
        <v>224</v>
      </c>
      <c r="B30" s="147">
        <v>1925</v>
      </c>
      <c r="C30" s="147">
        <v>1925</v>
      </c>
      <c r="D30" s="96"/>
    </row>
    <row r="31" spans="1:8" x14ac:dyDescent="0.2">
      <c r="A31" t="s">
        <v>77</v>
      </c>
      <c r="B31" s="144">
        <v>0</v>
      </c>
      <c r="C31" s="144">
        <v>0</v>
      </c>
      <c r="D31" s="38"/>
    </row>
    <row r="32" spans="1:8" x14ac:dyDescent="0.2">
      <c r="A32" s="1" t="s">
        <v>223</v>
      </c>
      <c r="B32" s="83">
        <f>+(B30-B31)/5</f>
        <v>385</v>
      </c>
      <c r="C32" s="83">
        <f>+(C30-C31)/5</f>
        <v>385</v>
      </c>
      <c r="D32" s="38"/>
    </row>
    <row r="33" spans="1:4" x14ac:dyDescent="0.2">
      <c r="A33" s="1" t="s">
        <v>79</v>
      </c>
      <c r="B33" s="83">
        <f>-CUMIPMT(0.03,5,B30,1,5,0)/5</f>
        <v>35.332549946108749</v>
      </c>
      <c r="C33" s="83">
        <f>-CUMIPMT(0.03,5,C30,1,5,0)/5</f>
        <v>35.332549946108749</v>
      </c>
      <c r="D33" s="38"/>
    </row>
    <row r="34" spans="1:4" x14ac:dyDescent="0.2">
      <c r="A34" s="1" t="s">
        <v>94</v>
      </c>
      <c r="B34" s="83">
        <f>+SUM(B32:B33)</f>
        <v>420.33254994610877</v>
      </c>
      <c r="C34" s="83">
        <f>+SUM(C32:C33)</f>
        <v>420.33254994610877</v>
      </c>
      <c r="D34" s="38"/>
    </row>
    <row r="36" spans="1:4" x14ac:dyDescent="0.2">
      <c r="A36" s="4" t="s">
        <v>95</v>
      </c>
    </row>
    <row r="37" spans="1:4" x14ac:dyDescent="0.2">
      <c r="A37" t="s">
        <v>96</v>
      </c>
      <c r="B37" s="83">
        <f>+B29/12</f>
        <v>166.66666666666666</v>
      </c>
      <c r="C37" s="83">
        <f>+C29/12</f>
        <v>266.66666666666669</v>
      </c>
      <c r="D37" s="38"/>
    </row>
    <row r="38" spans="1:4" x14ac:dyDescent="0.2">
      <c r="A38" t="s">
        <v>97</v>
      </c>
      <c r="B38" s="83">
        <f>-CUMIPMT(0.03,10,B29,1,10,0)/10</f>
        <v>34.461013210319173</v>
      </c>
      <c r="C38" s="83">
        <f>-CUMIPMT(0.03,10,C29,1,10,0)/10</f>
        <v>55.137621136510646</v>
      </c>
      <c r="D38" s="43"/>
    </row>
    <row r="39" spans="1:4" x14ac:dyDescent="0.2">
      <c r="A39" t="s">
        <v>94</v>
      </c>
      <c r="B39" s="83">
        <f>+B34</f>
        <v>420.33254994610877</v>
      </c>
      <c r="C39" s="83">
        <f>+C34</f>
        <v>420.33254994610877</v>
      </c>
      <c r="D39" s="43"/>
    </row>
    <row r="40" spans="1:4" x14ac:dyDescent="0.2">
      <c r="A40" t="s">
        <v>98</v>
      </c>
      <c r="B40" s="146">
        <v>100</v>
      </c>
      <c r="C40" s="146">
        <v>100</v>
      </c>
    </row>
    <row r="41" spans="1:4" x14ac:dyDescent="0.2">
      <c r="A41" t="s">
        <v>99</v>
      </c>
      <c r="B41" s="146">
        <f>+B26*2</f>
        <v>20</v>
      </c>
      <c r="C41" s="146">
        <f>+C26*2</f>
        <v>32</v>
      </c>
    </row>
    <row r="42" spans="1:4" x14ac:dyDescent="0.2">
      <c r="A42" t="s">
        <v>100</v>
      </c>
      <c r="B42" s="146">
        <f>1*B22*2</f>
        <v>112</v>
      </c>
      <c r="C42" s="146">
        <f>1*C22*4</f>
        <v>224</v>
      </c>
    </row>
    <row r="43" spans="1:4" x14ac:dyDescent="0.2">
      <c r="A43" t="s">
        <v>101</v>
      </c>
      <c r="B43" s="83">
        <f>+SUM(B37:B42)</f>
        <v>853.46022982309455</v>
      </c>
      <c r="C43" s="83">
        <f>+SUM(C37:C42)</f>
        <v>1098.1368377492861</v>
      </c>
      <c r="D43" s="38"/>
    </row>
    <row r="44" spans="1:4" x14ac:dyDescent="0.2">
      <c r="A44" s="141" t="s">
        <v>102</v>
      </c>
      <c r="B44" s="87">
        <f>+B43/B22</f>
        <v>15.240361246840974</v>
      </c>
      <c r="C44" s="87">
        <f>+C43/C22</f>
        <v>19.609586388380109</v>
      </c>
      <c r="D44" s="40"/>
    </row>
    <row r="46" spans="1:4" s="57" customFormat="1" ht="20.100000000000001" customHeight="1" x14ac:dyDescent="0.2">
      <c r="A46" s="142" t="s">
        <v>103</v>
      </c>
      <c r="B46" s="143">
        <v>15</v>
      </c>
      <c r="C46" s="143">
        <v>20</v>
      </c>
      <c r="D46" s="68"/>
    </row>
    <row r="48" spans="1:4" ht="13.5" thickBot="1" x14ac:dyDescent="0.25">
      <c r="A48" s="4" t="s">
        <v>104</v>
      </c>
    </row>
    <row r="49" spans="1:4" x14ac:dyDescent="0.2">
      <c r="A49" s="210"/>
      <c r="B49" s="211"/>
      <c r="C49" s="212"/>
      <c r="D49" s="97"/>
    </row>
    <row r="50" spans="1:4" x14ac:dyDescent="0.2">
      <c r="A50" s="213"/>
      <c r="B50" s="214"/>
      <c r="C50" s="215"/>
      <c r="D50" s="98"/>
    </row>
    <row r="51" spans="1:4" x14ac:dyDescent="0.2">
      <c r="A51" s="213"/>
      <c r="B51" s="214"/>
      <c r="C51" s="215"/>
      <c r="D51" s="98"/>
    </row>
    <row r="52" spans="1:4" x14ac:dyDescent="0.2">
      <c r="A52" s="213"/>
      <c r="B52" s="214"/>
      <c r="C52" s="215"/>
      <c r="D52" s="98"/>
    </row>
    <row r="53" spans="1:4" x14ac:dyDescent="0.2">
      <c r="A53" s="213"/>
      <c r="B53" s="214"/>
      <c r="C53" s="215"/>
      <c r="D53" s="98"/>
    </row>
    <row r="54" spans="1:4" x14ac:dyDescent="0.2">
      <c r="A54" s="213"/>
      <c r="B54" s="214"/>
      <c r="C54" s="215"/>
      <c r="D54" s="98"/>
    </row>
    <row r="55" spans="1:4" x14ac:dyDescent="0.2">
      <c r="A55" s="213"/>
      <c r="B55" s="214"/>
      <c r="C55" s="215"/>
      <c r="D55" s="98"/>
    </row>
    <row r="56" spans="1:4" x14ac:dyDescent="0.2">
      <c r="A56" s="213"/>
      <c r="B56" s="214"/>
      <c r="C56" s="215"/>
      <c r="D56" s="98"/>
    </row>
    <row r="57" spans="1:4" x14ac:dyDescent="0.2">
      <c r="A57" s="213"/>
      <c r="B57" s="214"/>
      <c r="C57" s="215"/>
      <c r="D57" s="98"/>
    </row>
    <row r="58" spans="1:4" x14ac:dyDescent="0.2">
      <c r="A58" s="213"/>
      <c r="B58" s="214"/>
      <c r="C58" s="215"/>
      <c r="D58" s="98"/>
    </row>
    <row r="59" spans="1:4" x14ac:dyDescent="0.2">
      <c r="A59" s="213"/>
      <c r="B59" s="214"/>
      <c r="C59" s="215"/>
      <c r="D59" s="98"/>
    </row>
    <row r="60" spans="1:4" ht="13.5" thickBot="1" x14ac:dyDescent="0.25">
      <c r="A60" s="216"/>
      <c r="B60" s="217"/>
      <c r="C60" s="218"/>
      <c r="D60" s="98"/>
    </row>
  </sheetData>
  <mergeCells count="2">
    <mergeCell ref="A2:C2"/>
    <mergeCell ref="A49:C60"/>
  </mergeCells>
  <printOptions horizontalCentered="1"/>
  <pageMargins left="0.78740157480314965" right="0.78740157480314965" top="1.0629921259842521" bottom="1.0236220472440944" header="0.78740157480314965" footer="0.78740157480314965"/>
  <pageSetup paperSize="9" scale="78" orientation="portrait" r:id="rId1"/>
  <headerFooter>
    <oddHeader>&amp;COutil développé dans le cadre du Programme pour &amp;9l’émergence d’une filière régionale « Chevreaux de boucherie », 
 avec le soutien de la Région Auvergne-Rhône-Alpes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zoomScaleNormal="100" zoomScalePageLayoutView="60" workbookViewId="0">
      <selection activeCell="A17" sqref="A17"/>
    </sheetView>
  </sheetViews>
  <sheetFormatPr baseColWidth="10" defaultColWidth="8.7109375" defaultRowHeight="12.75" x14ac:dyDescent="0.2"/>
  <cols>
    <col min="1" max="1" width="61.5703125"/>
    <col min="2" max="1025" width="11.5703125"/>
  </cols>
  <sheetData>
    <row r="1" spans="1:10" ht="35.1" customHeight="1" x14ac:dyDescent="0.2">
      <c r="A1" s="44"/>
    </row>
    <row r="2" spans="1:10" s="66" customFormat="1" ht="35.1" customHeight="1" x14ac:dyDescent="0.2">
      <c r="A2" s="219" t="s">
        <v>217</v>
      </c>
      <c r="B2" s="219"/>
      <c r="C2" s="219"/>
    </row>
    <row r="3" spans="1:10" ht="26.25" x14ac:dyDescent="0.2">
      <c r="A3" s="202" t="s">
        <v>105</v>
      </c>
      <c r="B3" s="202"/>
      <c r="C3" s="202"/>
    </row>
    <row r="4" spans="1:10" ht="19.5" x14ac:dyDescent="0.2">
      <c r="A4" s="45"/>
    </row>
    <row r="5" spans="1:10" x14ac:dyDescent="0.2">
      <c r="A5" s="133" t="s">
        <v>106</v>
      </c>
      <c r="B5" s="134"/>
      <c r="C5" s="134"/>
    </row>
    <row r="6" spans="1:10" ht="38.25" customHeight="1" x14ac:dyDescent="0.2">
      <c r="A6" s="223" t="s">
        <v>226</v>
      </c>
      <c r="B6" s="223"/>
      <c r="C6" s="223"/>
    </row>
    <row r="7" spans="1:10" s="66" customFormat="1" x14ac:dyDescent="0.2">
      <c r="A7" s="27"/>
    </row>
    <row r="8" spans="1:10" x14ac:dyDescent="0.2">
      <c r="A8" s="4"/>
    </row>
    <row r="9" spans="1:10" ht="15.75" x14ac:dyDescent="0.25">
      <c r="A9" s="131" t="s">
        <v>107</v>
      </c>
      <c r="B9" s="46">
        <v>12</v>
      </c>
      <c r="C9" t="s">
        <v>108</v>
      </c>
      <c r="D9" s="12" t="s">
        <v>109</v>
      </c>
      <c r="E9" s="12"/>
      <c r="F9" s="12"/>
      <c r="G9" s="12"/>
      <c r="H9" s="12"/>
      <c r="I9" s="12"/>
      <c r="J9" s="12"/>
    </row>
    <row r="10" spans="1:10" x14ac:dyDescent="0.2">
      <c r="A10" s="4"/>
      <c r="D10" s="12"/>
      <c r="E10" s="12"/>
      <c r="F10" s="12"/>
      <c r="G10" s="12"/>
      <c r="H10" s="12"/>
      <c r="I10" s="12"/>
      <c r="J10" s="12"/>
    </row>
    <row r="11" spans="1:10" x14ac:dyDescent="0.2">
      <c r="A11" s="4"/>
      <c r="D11" s="12"/>
      <c r="E11" s="12"/>
      <c r="F11" s="12"/>
      <c r="G11" s="12"/>
      <c r="H11" s="12"/>
      <c r="I11" s="12"/>
      <c r="J11" s="12"/>
    </row>
    <row r="12" spans="1:10" ht="15.75" x14ac:dyDescent="0.25">
      <c r="A12" s="131" t="s">
        <v>110</v>
      </c>
      <c r="B12" s="46">
        <v>14</v>
      </c>
      <c r="C12" t="s">
        <v>108</v>
      </c>
      <c r="D12" s="12" t="s">
        <v>109</v>
      </c>
      <c r="E12" s="12"/>
      <c r="F12" s="12"/>
      <c r="G12" s="12"/>
      <c r="H12" s="12"/>
      <c r="I12" s="12"/>
      <c r="J12" s="12"/>
    </row>
    <row r="13" spans="1:10" x14ac:dyDescent="0.2">
      <c r="A13" s="4"/>
      <c r="D13" s="12"/>
      <c r="E13" s="12"/>
      <c r="F13" s="12"/>
      <c r="G13" s="12"/>
      <c r="H13" s="12"/>
      <c r="I13" s="12"/>
      <c r="J13" s="12"/>
    </row>
    <row r="14" spans="1:10" x14ac:dyDescent="0.2">
      <c r="A14" s="4"/>
      <c r="D14" s="12"/>
      <c r="E14" s="12"/>
      <c r="F14" s="12"/>
      <c r="G14" s="12"/>
      <c r="H14" s="12"/>
      <c r="I14" s="12"/>
      <c r="J14" s="12"/>
    </row>
    <row r="15" spans="1:10" x14ac:dyDescent="0.2">
      <c r="A15" s="4" t="s">
        <v>247</v>
      </c>
      <c r="D15" s="12"/>
      <c r="E15" s="12"/>
      <c r="F15" s="12"/>
      <c r="G15" s="12"/>
      <c r="H15" s="12"/>
      <c r="I15" s="12"/>
      <c r="J15" s="12"/>
    </row>
    <row r="16" spans="1:10" ht="51" customHeight="1" x14ac:dyDescent="0.2">
      <c r="A16" s="224" t="s">
        <v>227</v>
      </c>
      <c r="B16" s="224"/>
      <c r="C16" s="224"/>
      <c r="D16" s="12"/>
      <c r="E16" s="12"/>
      <c r="F16" s="12"/>
      <c r="G16" s="12"/>
      <c r="H16" s="12"/>
      <c r="I16" s="12"/>
      <c r="J16" s="12"/>
    </row>
    <row r="17" spans="1:10" x14ac:dyDescent="0.2">
      <c r="A17" t="s">
        <v>252</v>
      </c>
      <c r="B17" s="16">
        <v>0.76</v>
      </c>
      <c r="D17" s="12"/>
      <c r="E17" s="12"/>
      <c r="F17" s="12"/>
      <c r="G17" s="12"/>
      <c r="H17" s="12"/>
      <c r="I17" s="12"/>
      <c r="J17" s="12"/>
    </row>
    <row r="18" spans="1:10" x14ac:dyDescent="0.2">
      <c r="A18" t="s">
        <v>111</v>
      </c>
      <c r="B18" s="16"/>
      <c r="D18" s="12" t="s">
        <v>112</v>
      </c>
      <c r="E18" s="12"/>
      <c r="F18" s="12"/>
      <c r="G18" s="12"/>
      <c r="H18" s="12"/>
      <c r="I18" s="12"/>
      <c r="J18" s="12"/>
    </row>
    <row r="19" spans="1:10" x14ac:dyDescent="0.2">
      <c r="A19" t="s">
        <v>113</v>
      </c>
      <c r="B19" s="101">
        <v>25</v>
      </c>
      <c r="D19" s="12"/>
      <c r="E19" s="12"/>
      <c r="F19" s="12"/>
      <c r="G19" s="12"/>
      <c r="H19" s="12"/>
      <c r="I19" s="12"/>
      <c r="J19" s="12"/>
    </row>
    <row r="20" spans="1:10" x14ac:dyDescent="0.2">
      <c r="A20" t="s">
        <v>114</v>
      </c>
      <c r="B20" s="5">
        <f>+Description!C44</f>
        <v>56</v>
      </c>
      <c r="D20" s="12"/>
      <c r="E20" s="12"/>
      <c r="F20" s="12"/>
      <c r="G20" s="12"/>
      <c r="H20" s="12"/>
      <c r="I20" s="12"/>
      <c r="J20" s="12"/>
    </row>
    <row r="21" spans="1:10" x14ac:dyDescent="0.2">
      <c r="D21" s="12"/>
      <c r="E21" s="12"/>
      <c r="F21" s="12"/>
      <c r="G21" s="12"/>
      <c r="H21" s="12"/>
      <c r="I21" s="12"/>
      <c r="J21" s="12"/>
    </row>
    <row r="22" spans="1:10" x14ac:dyDescent="0.2">
      <c r="D22" s="12"/>
      <c r="E22" s="12"/>
      <c r="F22" s="12"/>
      <c r="G22" s="12"/>
      <c r="H22" s="12"/>
      <c r="I22" s="12"/>
      <c r="J22" s="12"/>
    </row>
    <row r="23" spans="1:10" x14ac:dyDescent="0.2">
      <c r="A23" s="4" t="s">
        <v>115</v>
      </c>
      <c r="B23" s="101">
        <v>15000</v>
      </c>
      <c r="D23" s="12" t="s">
        <v>116</v>
      </c>
      <c r="E23" s="12"/>
      <c r="F23" s="12"/>
      <c r="G23" s="12"/>
      <c r="H23" s="12"/>
      <c r="I23" s="12"/>
      <c r="J23" s="12"/>
    </row>
    <row r="24" spans="1:10" x14ac:dyDescent="0.2">
      <c r="A24" t="s">
        <v>96</v>
      </c>
      <c r="B24" s="101">
        <f>+B23/12</f>
        <v>1250</v>
      </c>
      <c r="D24" s="12"/>
      <c r="E24" s="12"/>
      <c r="F24" s="12"/>
      <c r="G24" s="12"/>
      <c r="H24" s="12"/>
      <c r="I24" s="12"/>
      <c r="J24" s="12"/>
    </row>
    <row r="25" spans="1:10" x14ac:dyDescent="0.2">
      <c r="A25" t="s">
        <v>117</v>
      </c>
      <c r="B25" s="101">
        <f>-CUMIPMT(0.03,12,B23,1,12,0)/12</f>
        <v>256.93128209444529</v>
      </c>
      <c r="D25" s="12"/>
      <c r="E25" s="12"/>
      <c r="F25" s="12"/>
      <c r="G25" s="12"/>
      <c r="H25" s="12"/>
      <c r="I25" s="12"/>
      <c r="J25" s="12"/>
    </row>
    <row r="26" spans="1:10" x14ac:dyDescent="0.2">
      <c r="A26" t="s">
        <v>118</v>
      </c>
      <c r="B26" s="101">
        <v>0.2</v>
      </c>
      <c r="D26" s="12" t="s">
        <v>119</v>
      </c>
      <c r="E26" s="12"/>
      <c r="F26" s="12"/>
      <c r="G26" s="12"/>
      <c r="H26" s="12"/>
      <c r="I26" s="12"/>
      <c r="J26" s="12"/>
    </row>
    <row r="27" spans="1:10" x14ac:dyDescent="0.2">
      <c r="A27" t="s">
        <v>120</v>
      </c>
      <c r="B27" s="101">
        <v>1.5</v>
      </c>
      <c r="D27" s="12" t="s">
        <v>121</v>
      </c>
      <c r="E27" s="12"/>
      <c r="F27" s="12"/>
      <c r="G27" s="12"/>
      <c r="H27" s="12"/>
      <c r="I27" s="12"/>
      <c r="J27" s="12"/>
    </row>
    <row r="28" spans="1:10" x14ac:dyDescent="0.2">
      <c r="A28" t="s">
        <v>122</v>
      </c>
      <c r="B28" s="101">
        <f>+B17*9.76*1.5</f>
        <v>11.1264</v>
      </c>
      <c r="D28" s="12"/>
      <c r="E28" s="12"/>
      <c r="F28" s="12"/>
      <c r="G28" s="12"/>
      <c r="H28" s="12"/>
      <c r="I28" s="12"/>
      <c r="J28" s="12"/>
    </row>
    <row r="29" spans="1:10" x14ac:dyDescent="0.2">
      <c r="A29" t="s">
        <v>123</v>
      </c>
      <c r="B29" s="101">
        <f>+B19*B18</f>
        <v>0</v>
      </c>
      <c r="D29" s="12"/>
      <c r="E29" s="12"/>
      <c r="F29" s="12"/>
      <c r="G29" s="12"/>
      <c r="H29" s="12"/>
      <c r="I29" s="12"/>
      <c r="J29" s="12"/>
    </row>
    <row r="30" spans="1:10" x14ac:dyDescent="0.2">
      <c r="B30" s="101"/>
    </row>
    <row r="31" spans="1:10" x14ac:dyDescent="0.2">
      <c r="A31" s="47" t="s">
        <v>124</v>
      </c>
      <c r="B31" s="102">
        <f>+SUM(B24:B25)/B20+B26+B27</f>
        <v>28.60948718025795</v>
      </c>
    </row>
    <row r="32" spans="1:10" ht="28.5" x14ac:dyDescent="0.2">
      <c r="A32" s="132" t="s">
        <v>248</v>
      </c>
      <c r="B32" s="148">
        <f>+B31+B28</f>
        <v>39.735887180257947</v>
      </c>
    </row>
    <row r="33" spans="1:3" x14ac:dyDescent="0.2">
      <c r="B33" s="28"/>
    </row>
    <row r="34" spans="1:3" x14ac:dyDescent="0.2">
      <c r="A34" s="133" t="s">
        <v>125</v>
      </c>
    </row>
    <row r="35" spans="1:3" s="66" customFormat="1" x14ac:dyDescent="0.2">
      <c r="A35" s="24"/>
    </row>
    <row r="36" spans="1:3" ht="13.5" thickBot="1" x14ac:dyDescent="0.25">
      <c r="A36" s="4" t="s">
        <v>104</v>
      </c>
    </row>
    <row r="37" spans="1:3" x14ac:dyDescent="0.2">
      <c r="A37" s="220"/>
      <c r="B37" s="221"/>
      <c r="C37" s="222"/>
    </row>
    <row r="38" spans="1:3" x14ac:dyDescent="0.2">
      <c r="A38" s="204"/>
      <c r="B38" s="205"/>
      <c r="C38" s="206"/>
    </row>
    <row r="39" spans="1:3" x14ac:dyDescent="0.2">
      <c r="A39" s="204"/>
      <c r="B39" s="205"/>
      <c r="C39" s="206"/>
    </row>
    <row r="40" spans="1:3" x14ac:dyDescent="0.2">
      <c r="A40" s="204"/>
      <c r="B40" s="205"/>
      <c r="C40" s="206"/>
    </row>
    <row r="41" spans="1:3" x14ac:dyDescent="0.2">
      <c r="A41" s="204"/>
      <c r="B41" s="205"/>
      <c r="C41" s="206"/>
    </row>
    <row r="42" spans="1:3" x14ac:dyDescent="0.2">
      <c r="A42" s="204"/>
      <c r="B42" s="205"/>
      <c r="C42" s="206"/>
    </row>
    <row r="43" spans="1:3" x14ac:dyDescent="0.2">
      <c r="A43" s="204"/>
      <c r="B43" s="205"/>
      <c r="C43" s="206"/>
    </row>
    <row r="44" spans="1:3" x14ac:dyDescent="0.2">
      <c r="A44" s="204"/>
      <c r="B44" s="205"/>
      <c r="C44" s="206"/>
    </row>
    <row r="45" spans="1:3" x14ac:dyDescent="0.2">
      <c r="A45" s="204"/>
      <c r="B45" s="205"/>
      <c r="C45" s="206"/>
    </row>
    <row r="46" spans="1:3" x14ac:dyDescent="0.2">
      <c r="A46" s="204"/>
      <c r="B46" s="205"/>
      <c r="C46" s="206"/>
    </row>
    <row r="47" spans="1:3" x14ac:dyDescent="0.2">
      <c r="A47" s="204"/>
      <c r="B47" s="205"/>
      <c r="C47" s="206"/>
    </row>
    <row r="48" spans="1:3" ht="13.5" thickBot="1" x14ac:dyDescent="0.25">
      <c r="A48" s="207"/>
      <c r="B48" s="208"/>
      <c r="C48" s="209"/>
    </row>
  </sheetData>
  <mergeCells count="5">
    <mergeCell ref="A2:C2"/>
    <mergeCell ref="A3:C3"/>
    <mergeCell ref="A37:C48"/>
    <mergeCell ref="A6:C6"/>
    <mergeCell ref="A16:C16"/>
  </mergeCells>
  <printOptions horizontalCentered="1"/>
  <pageMargins left="0.78740157480314965" right="0.78740157480314965" top="1.0629921259842521" bottom="1.0236220472440944" header="0.78740157480314965" footer="0.78740157480314965"/>
  <pageSetup paperSize="9" scale="88" orientation="portrait" r:id="rId1"/>
  <headerFooter>
    <oddHeader>&amp;C&amp;8Outil développé dans le cadre du Programme pour l’émergence d’une filière régionale « Chevreaux de boucherie », 
 avec le soutien de la Région Auvergne-Rhône-Alpes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zoomScaleNormal="100" zoomScalePageLayoutView="60" workbookViewId="0">
      <selection activeCell="B17" sqref="B17:B19"/>
    </sheetView>
  </sheetViews>
  <sheetFormatPr baseColWidth="10" defaultColWidth="8.7109375" defaultRowHeight="12.75" x14ac:dyDescent="0.2"/>
  <cols>
    <col min="1" max="1" width="59.85546875"/>
    <col min="2" max="2" width="20.140625"/>
    <col min="3" max="3" width="11.5703125" style="1"/>
    <col min="4" max="1025" width="11.5703125"/>
  </cols>
  <sheetData>
    <row r="1" spans="1:9" ht="50.1" customHeight="1" x14ac:dyDescent="0.2">
      <c r="A1" s="4"/>
    </row>
    <row r="2" spans="1:9" s="66" customFormat="1" ht="24.75" customHeight="1" x14ac:dyDescent="0.2">
      <c r="A2" s="226" t="s">
        <v>217</v>
      </c>
      <c r="B2" s="226"/>
      <c r="C2" s="67"/>
    </row>
    <row r="3" spans="1:9" ht="46.5" customHeight="1" x14ac:dyDescent="0.2">
      <c r="A3" s="225" t="s">
        <v>228</v>
      </c>
      <c r="B3" s="225"/>
    </row>
    <row r="4" spans="1:9" ht="35.1" customHeight="1" x14ac:dyDescent="0.2">
      <c r="A4" s="4"/>
    </row>
    <row r="5" spans="1:9" ht="15.75" x14ac:dyDescent="0.25">
      <c r="A5" s="48" t="s">
        <v>126</v>
      </c>
      <c r="D5" s="12" t="s">
        <v>127</v>
      </c>
      <c r="E5" s="12"/>
      <c r="F5" s="12"/>
      <c r="G5" s="12"/>
      <c r="H5" s="12"/>
      <c r="I5" s="12"/>
    </row>
    <row r="6" spans="1:9" s="66" customFormat="1" ht="9.9499999999999993" customHeight="1" x14ac:dyDescent="0.25">
      <c r="A6" s="48"/>
      <c r="C6" s="67"/>
      <c r="E6" s="24"/>
      <c r="F6" s="24"/>
      <c r="G6" s="24"/>
      <c r="H6" s="24"/>
      <c r="I6" s="24"/>
    </row>
    <row r="7" spans="1:9" x14ac:dyDescent="0.2">
      <c r="A7" t="s">
        <v>231</v>
      </c>
      <c r="B7" s="103">
        <v>1500</v>
      </c>
      <c r="C7" s="37"/>
      <c r="D7" s="12">
        <v>1500</v>
      </c>
      <c r="E7" s="12"/>
      <c r="F7" s="12"/>
      <c r="G7" s="12"/>
      <c r="H7" s="12"/>
      <c r="I7" s="12"/>
    </row>
    <row r="8" spans="1:9" x14ac:dyDescent="0.2">
      <c r="A8" t="s">
        <v>128</v>
      </c>
      <c r="B8" s="104"/>
      <c r="C8" s="37"/>
      <c r="D8" s="12">
        <v>3500</v>
      </c>
      <c r="E8" s="12" t="s">
        <v>129</v>
      </c>
      <c r="F8" s="12"/>
      <c r="G8" s="12"/>
      <c r="H8" s="12"/>
      <c r="I8" s="12"/>
    </row>
    <row r="9" spans="1:9" x14ac:dyDescent="0.2">
      <c r="A9" t="s">
        <v>130</v>
      </c>
      <c r="B9" s="104"/>
      <c r="C9" s="37"/>
      <c r="D9" s="12">
        <v>2000</v>
      </c>
      <c r="E9" s="12"/>
      <c r="F9" s="12"/>
      <c r="G9" s="12"/>
      <c r="H9" s="12"/>
      <c r="I9" s="12"/>
    </row>
    <row r="10" spans="1:9" x14ac:dyDescent="0.2">
      <c r="A10" t="s">
        <v>131</v>
      </c>
      <c r="B10" s="105"/>
      <c r="C10" s="37"/>
      <c r="D10" s="12" t="s">
        <v>132</v>
      </c>
      <c r="E10" s="12"/>
      <c r="F10" s="12"/>
      <c r="G10" s="12"/>
      <c r="H10" s="12"/>
      <c r="I10" s="12"/>
    </row>
    <row r="11" spans="1:9" x14ac:dyDescent="0.2">
      <c r="A11" s="33" t="s">
        <v>101</v>
      </c>
      <c r="B11" s="107">
        <f>+SUM(B7:B10)</f>
        <v>1500</v>
      </c>
      <c r="D11" s="12"/>
      <c r="E11" s="12"/>
      <c r="F11" s="12"/>
      <c r="G11" s="12"/>
      <c r="H11" s="12"/>
      <c r="I11" s="12"/>
    </row>
    <row r="12" spans="1:9" x14ac:dyDescent="0.2">
      <c r="D12" s="12"/>
      <c r="E12" s="12"/>
      <c r="F12" s="12"/>
      <c r="G12" s="12"/>
      <c r="H12" s="12"/>
      <c r="I12" s="12"/>
    </row>
    <row r="13" spans="1:9" x14ac:dyDescent="0.2">
      <c r="A13" t="s">
        <v>230</v>
      </c>
      <c r="B13" s="5">
        <f>+Description!C44</f>
        <v>56</v>
      </c>
      <c r="C13" s="37"/>
      <c r="D13" s="12"/>
      <c r="E13" s="12"/>
      <c r="F13" s="12"/>
      <c r="G13" s="12"/>
      <c r="H13" s="12"/>
      <c r="I13" s="12"/>
    </row>
    <row r="14" spans="1:9" x14ac:dyDescent="0.2">
      <c r="D14" s="12"/>
      <c r="E14" s="12"/>
      <c r="F14" s="12"/>
      <c r="G14" s="12"/>
      <c r="H14" s="12"/>
      <c r="I14" s="12"/>
    </row>
    <row r="15" spans="1:9" ht="15.75" x14ac:dyDescent="0.25">
      <c r="A15" s="48" t="s">
        <v>133</v>
      </c>
      <c r="D15" s="12"/>
      <c r="E15" s="12"/>
      <c r="F15" s="12"/>
      <c r="G15" s="12"/>
      <c r="H15" s="12"/>
      <c r="I15" s="12"/>
    </row>
    <row r="16" spans="1:9" s="66" customFormat="1" ht="9.9499999999999993" customHeight="1" x14ac:dyDescent="0.25">
      <c r="A16" s="48"/>
      <c r="C16" s="67"/>
      <c r="D16" s="24"/>
      <c r="E16" s="24"/>
      <c r="F16" s="24"/>
      <c r="G16" s="24"/>
      <c r="H16" s="24"/>
      <c r="I16" s="24"/>
    </row>
    <row r="17" spans="1:9" x14ac:dyDescent="0.2">
      <c r="A17" t="s">
        <v>134</v>
      </c>
      <c r="B17" s="101">
        <f>+B11/7</f>
        <v>214.28571428571428</v>
      </c>
      <c r="C17" s="38"/>
      <c r="D17" s="12"/>
      <c r="E17" s="12"/>
      <c r="F17" s="12"/>
      <c r="G17" s="12"/>
      <c r="H17" s="12"/>
      <c r="I17" s="12"/>
    </row>
    <row r="18" spans="1:9" x14ac:dyDescent="0.2">
      <c r="A18" t="s">
        <v>135</v>
      </c>
      <c r="B18" s="42">
        <f>-CUMIPMT(0.03,7,B11,1,7,0)/7</f>
        <v>26.473816345693649</v>
      </c>
      <c r="C18" s="49"/>
      <c r="D18" s="12"/>
      <c r="E18" s="12"/>
      <c r="F18" s="12"/>
      <c r="G18" s="12"/>
      <c r="H18" s="12"/>
      <c r="I18" s="12"/>
    </row>
    <row r="19" spans="1:9" x14ac:dyDescent="0.2">
      <c r="A19" t="s">
        <v>136</v>
      </c>
      <c r="B19" s="101">
        <v>50</v>
      </c>
      <c r="D19" s="12" t="s">
        <v>137</v>
      </c>
      <c r="E19" s="12"/>
      <c r="F19" s="12"/>
      <c r="G19" s="12"/>
      <c r="H19" s="12"/>
      <c r="I19" s="12"/>
    </row>
    <row r="20" spans="1:9" x14ac:dyDescent="0.2">
      <c r="D20" s="12"/>
      <c r="E20" s="12"/>
      <c r="F20" s="12"/>
      <c r="G20" s="12"/>
      <c r="H20" s="12"/>
      <c r="I20" s="12"/>
    </row>
    <row r="21" spans="1:9" x14ac:dyDescent="0.2">
      <c r="A21" t="s">
        <v>138</v>
      </c>
      <c r="B21" s="101">
        <f>+SUM(B17:B19)</f>
        <v>290.75953063140793</v>
      </c>
      <c r="C21" s="38"/>
      <c r="D21" s="12"/>
      <c r="E21" s="12"/>
      <c r="F21" s="12"/>
      <c r="G21" s="12"/>
      <c r="H21" s="12"/>
      <c r="I21" s="12"/>
    </row>
    <row r="23" spans="1:9" s="57" customFormat="1" ht="15.75" x14ac:dyDescent="0.2">
      <c r="A23" s="149" t="s">
        <v>229</v>
      </c>
      <c r="B23" s="150">
        <f>+B21/B13</f>
        <v>5.1921344755608558</v>
      </c>
      <c r="C23" s="106"/>
    </row>
    <row r="25" spans="1:9" x14ac:dyDescent="0.2">
      <c r="A25" s="4" t="s">
        <v>104</v>
      </c>
    </row>
    <row r="26" spans="1:9" s="66" customFormat="1" ht="9.9499999999999993" customHeight="1" thickBot="1" x14ac:dyDescent="0.25">
      <c r="A26" s="33"/>
      <c r="C26" s="67"/>
    </row>
    <row r="27" spans="1:9" x14ac:dyDescent="0.2">
      <c r="A27" s="220"/>
      <c r="B27" s="222"/>
    </row>
    <row r="28" spans="1:9" x14ac:dyDescent="0.2">
      <c r="A28" s="204"/>
      <c r="B28" s="206"/>
    </row>
    <row r="29" spans="1:9" x14ac:dyDescent="0.2">
      <c r="A29" s="204"/>
      <c r="B29" s="206"/>
    </row>
    <row r="30" spans="1:9" x14ac:dyDescent="0.2">
      <c r="A30" s="204"/>
      <c r="B30" s="206"/>
    </row>
    <row r="31" spans="1:9" x14ac:dyDescent="0.2">
      <c r="A31" s="204"/>
      <c r="B31" s="206"/>
    </row>
    <row r="32" spans="1:9" x14ac:dyDescent="0.2">
      <c r="A32" s="204"/>
      <c r="B32" s="206"/>
    </row>
    <row r="33" spans="1:2" x14ac:dyDescent="0.2">
      <c r="A33" s="204"/>
      <c r="B33" s="206"/>
    </row>
    <row r="34" spans="1:2" x14ac:dyDescent="0.2">
      <c r="A34" s="204"/>
      <c r="B34" s="206"/>
    </row>
    <row r="35" spans="1:2" x14ac:dyDescent="0.2">
      <c r="A35" s="204"/>
      <c r="B35" s="206"/>
    </row>
    <row r="36" spans="1:2" ht="13.5" thickBot="1" x14ac:dyDescent="0.25">
      <c r="A36" s="207"/>
      <c r="B36" s="209"/>
    </row>
  </sheetData>
  <mergeCells count="3">
    <mergeCell ref="A3:B3"/>
    <mergeCell ref="A27:B36"/>
    <mergeCell ref="A2:B2"/>
  </mergeCells>
  <printOptions horizontalCentered="1"/>
  <pageMargins left="0.78740157480314965" right="0.78740157480314965" top="1.0629921259842521" bottom="1.0236220472440944" header="0.78740157480314965" footer="0.78740157480314965"/>
  <pageSetup paperSize="9" orientation="portrait" r:id="rId1"/>
  <headerFooter>
    <oddHeader>&amp;C&amp;8Outil développé dans le cadre du Programme pour l’émergence d’une filière régionale « Chevreaux de boucherie », 
 avec le soutien de la Région Auvergne-Rhône-Alpes</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4"/>
  <sheetViews>
    <sheetView zoomScaleNormal="100" zoomScalePageLayoutView="60" workbookViewId="0">
      <selection activeCell="C32" sqref="C32"/>
    </sheetView>
  </sheetViews>
  <sheetFormatPr baseColWidth="10" defaultColWidth="8.7109375" defaultRowHeight="12.75" x14ac:dyDescent="0.2"/>
  <cols>
    <col min="1" max="1" width="17.140625"/>
    <col min="2" max="2" width="75.5703125"/>
    <col min="3" max="3" width="17.28515625"/>
    <col min="4" max="4" width="72.85546875"/>
    <col min="5" max="1025" width="11.5703125"/>
  </cols>
  <sheetData>
    <row r="1" spans="1:4" ht="24.95" customHeight="1" x14ac:dyDescent="0.2"/>
    <row r="2" spans="1:4" ht="31.5" x14ac:dyDescent="0.2">
      <c r="A2" s="202" t="s">
        <v>249</v>
      </c>
      <c r="B2" s="202"/>
      <c r="C2" s="202"/>
    </row>
    <row r="3" spans="1:4" s="66" customFormat="1" ht="24.95" customHeight="1" x14ac:dyDescent="0.2">
      <c r="A3" s="108"/>
      <c r="B3" s="108"/>
      <c r="C3" s="108"/>
    </row>
    <row r="4" spans="1:4" s="116" customFormat="1" x14ac:dyDescent="0.2">
      <c r="A4" s="133" t="s">
        <v>139</v>
      </c>
    </row>
    <row r="5" spans="1:4" s="116" customFormat="1" x14ac:dyDescent="0.2">
      <c r="A5" s="133" t="s">
        <v>140</v>
      </c>
    </row>
    <row r="6" spans="1:4" s="116" customFormat="1" x14ac:dyDescent="0.2">
      <c r="A6" s="133" t="s">
        <v>141</v>
      </c>
    </row>
    <row r="7" spans="1:4" s="66" customFormat="1" x14ac:dyDescent="0.2">
      <c r="A7" s="24"/>
    </row>
    <row r="8" spans="1:4" x14ac:dyDescent="0.2">
      <c r="B8" t="s">
        <v>142</v>
      </c>
      <c r="C8" t="s">
        <v>143</v>
      </c>
      <c r="D8" s="12" t="s">
        <v>233</v>
      </c>
    </row>
    <row r="9" spans="1:4" x14ac:dyDescent="0.2">
      <c r="D9" s="12"/>
    </row>
    <row r="10" spans="1:4" x14ac:dyDescent="0.2">
      <c r="D10" s="12"/>
    </row>
    <row r="11" spans="1:4" x14ac:dyDescent="0.2">
      <c r="B11" t="s">
        <v>144</v>
      </c>
      <c r="C11" s="6">
        <v>1</v>
      </c>
      <c r="D11" s="12"/>
    </row>
    <row r="12" spans="1:4" x14ac:dyDescent="0.2">
      <c r="B12" t="s">
        <v>232</v>
      </c>
      <c r="C12" s="50">
        <f>+Description!C44/C11</f>
        <v>56</v>
      </c>
      <c r="D12" s="12"/>
    </row>
    <row r="13" spans="1:4" x14ac:dyDescent="0.2">
      <c r="C13" s="50"/>
      <c r="D13" s="12"/>
    </row>
    <row r="14" spans="1:4" ht="15.75" x14ac:dyDescent="0.25">
      <c r="A14" s="131" t="s">
        <v>145</v>
      </c>
      <c r="C14" s="4"/>
    </row>
    <row r="15" spans="1:4" x14ac:dyDescent="0.2">
      <c r="A15" s="238" t="s">
        <v>146</v>
      </c>
      <c r="B15" s="156" t="s">
        <v>147</v>
      </c>
      <c r="C15" s="158">
        <v>3</v>
      </c>
      <c r="D15" s="12"/>
    </row>
    <row r="16" spans="1:4" x14ac:dyDescent="0.2">
      <c r="A16" s="239"/>
      <c r="B16" s="155" t="s">
        <v>148</v>
      </c>
      <c r="C16" s="52">
        <v>160</v>
      </c>
      <c r="D16" s="12"/>
    </row>
    <row r="17" spans="1:4" x14ac:dyDescent="0.2">
      <c r="A17" s="240" t="s">
        <v>149</v>
      </c>
      <c r="B17" s="154" t="s">
        <v>150</v>
      </c>
      <c r="C17" s="158">
        <v>0</v>
      </c>
      <c r="D17" s="12"/>
    </row>
    <row r="18" spans="1:4" x14ac:dyDescent="0.2">
      <c r="A18" s="241"/>
      <c r="B18" s="153" t="s">
        <v>151</v>
      </c>
      <c r="C18" s="52"/>
      <c r="D18" s="12"/>
    </row>
    <row r="19" spans="1:4" x14ac:dyDescent="0.2">
      <c r="A19" s="240" t="s">
        <v>152</v>
      </c>
      <c r="B19" t="s">
        <v>153</v>
      </c>
      <c r="C19" s="157">
        <v>1</v>
      </c>
      <c r="D19" s="12"/>
    </row>
    <row r="20" spans="1:4" x14ac:dyDescent="0.2">
      <c r="A20" s="240"/>
      <c r="B20" t="s">
        <v>154</v>
      </c>
      <c r="C20" s="6">
        <v>50</v>
      </c>
      <c r="D20" s="12"/>
    </row>
    <row r="21" spans="1:4" s="54" customFormat="1" ht="25.5" x14ac:dyDescent="0.2">
      <c r="A21" s="241"/>
      <c r="B21" s="51" t="s">
        <v>155</v>
      </c>
      <c r="C21" s="52">
        <v>6</v>
      </c>
      <c r="D21" s="53" t="s">
        <v>156</v>
      </c>
    </row>
    <row r="22" spans="1:4" x14ac:dyDescent="0.2">
      <c r="D22" s="12"/>
    </row>
    <row r="23" spans="1:4" ht="15.75" x14ac:dyDescent="0.25">
      <c r="A23" s="131" t="s">
        <v>157</v>
      </c>
      <c r="D23" s="12"/>
    </row>
    <row r="24" spans="1:4" x14ac:dyDescent="0.2">
      <c r="A24" t="s">
        <v>146</v>
      </c>
      <c r="B24" t="s">
        <v>158</v>
      </c>
      <c r="C24" s="109">
        <v>0</v>
      </c>
      <c r="D24" s="12"/>
    </row>
    <row r="25" spans="1:4" x14ac:dyDescent="0.2">
      <c r="A25" t="s">
        <v>149</v>
      </c>
      <c r="B25" t="s">
        <v>159</v>
      </c>
      <c r="C25" s="109">
        <v>50</v>
      </c>
      <c r="D25" s="12"/>
    </row>
    <row r="26" spans="1:4" x14ac:dyDescent="0.2">
      <c r="A26" t="s">
        <v>152</v>
      </c>
      <c r="B26" t="s">
        <v>160</v>
      </c>
      <c r="C26" s="109">
        <v>0</v>
      </c>
      <c r="D26" s="12"/>
    </row>
    <row r="27" spans="1:4" x14ac:dyDescent="0.2">
      <c r="D27" s="12"/>
    </row>
    <row r="28" spans="1:4" x14ac:dyDescent="0.2">
      <c r="D28" s="12"/>
    </row>
    <row r="29" spans="1:4" ht="15.75" x14ac:dyDescent="0.25">
      <c r="B29" s="48" t="s">
        <v>161</v>
      </c>
      <c r="C29" s="4"/>
      <c r="D29" s="12" t="s">
        <v>162</v>
      </c>
    </row>
    <row r="30" spans="1:4" x14ac:dyDescent="0.2">
      <c r="A30" s="152" t="s">
        <v>163</v>
      </c>
      <c r="D30" s="12"/>
    </row>
    <row r="31" spans="1:4" x14ac:dyDescent="0.2">
      <c r="A31" s="227" t="s">
        <v>146</v>
      </c>
      <c r="B31" s="55" t="s">
        <v>164</v>
      </c>
      <c r="C31" s="110">
        <f>+C16*0.5*C11+C24*C11</f>
        <v>80</v>
      </c>
      <c r="D31" s="12" t="s">
        <v>234</v>
      </c>
    </row>
    <row r="32" spans="1:4" x14ac:dyDescent="0.2">
      <c r="A32" s="227"/>
      <c r="B32" s="54" t="s">
        <v>165</v>
      </c>
      <c r="C32" s="111">
        <f>+C15*9.76*C11*1.5</f>
        <v>43.92</v>
      </c>
      <c r="D32" s="12" t="s">
        <v>166</v>
      </c>
    </row>
    <row r="33" spans="1:4" x14ac:dyDescent="0.2">
      <c r="D33" s="12"/>
    </row>
    <row r="34" spans="1:4" x14ac:dyDescent="0.2">
      <c r="A34" s="227" t="s">
        <v>149</v>
      </c>
      <c r="B34" s="55" t="s">
        <v>167</v>
      </c>
      <c r="C34" s="110">
        <f>+C18*0.5*C11*1.5+C25*C11</f>
        <v>50</v>
      </c>
      <c r="D34" s="12"/>
    </row>
    <row r="35" spans="1:4" x14ac:dyDescent="0.2">
      <c r="A35" s="227"/>
      <c r="B35" s="54" t="s">
        <v>165</v>
      </c>
      <c r="C35" s="111">
        <f>+C17*9.76*C11</f>
        <v>0</v>
      </c>
      <c r="D35" s="12" t="s">
        <v>166</v>
      </c>
    </row>
    <row r="36" spans="1:4" x14ac:dyDescent="0.2">
      <c r="D36" s="12"/>
    </row>
    <row r="37" spans="1:4" x14ac:dyDescent="0.2">
      <c r="A37" s="227" t="s">
        <v>152</v>
      </c>
      <c r="B37" s="55" t="s">
        <v>168</v>
      </c>
      <c r="C37" s="110">
        <f>+C20*0.41*C11+C26*C11</f>
        <v>20.5</v>
      </c>
      <c r="D37" s="12"/>
    </row>
    <row r="38" spans="1:4" x14ac:dyDescent="0.2">
      <c r="A38" s="227"/>
      <c r="B38" t="s">
        <v>165</v>
      </c>
      <c r="C38" s="101">
        <f>+C19*9.76*C11*1.5</f>
        <v>14.64</v>
      </c>
      <c r="D38" s="12" t="s">
        <v>166</v>
      </c>
    </row>
    <row r="39" spans="1:4" x14ac:dyDescent="0.2">
      <c r="A39" s="227"/>
      <c r="B39" s="54" t="s">
        <v>169</v>
      </c>
      <c r="C39" s="112">
        <v>100</v>
      </c>
      <c r="D39" s="12" t="s">
        <v>170</v>
      </c>
    </row>
    <row r="40" spans="1:4" x14ac:dyDescent="0.2">
      <c r="D40" s="12"/>
    </row>
    <row r="41" spans="1:4" x14ac:dyDescent="0.2">
      <c r="D41" s="12"/>
    </row>
    <row r="42" spans="1:4" x14ac:dyDescent="0.2">
      <c r="A42" s="133" t="s">
        <v>171</v>
      </c>
      <c r="D42" s="12"/>
    </row>
    <row r="43" spans="1:4" s="66" customFormat="1" x14ac:dyDescent="0.2">
      <c r="A43" s="24"/>
      <c r="D43" s="24"/>
    </row>
    <row r="44" spans="1:4" ht="15.75" x14ac:dyDescent="0.25">
      <c r="B44" s="131" t="s">
        <v>172</v>
      </c>
      <c r="D44" s="12"/>
    </row>
    <row r="45" spans="1:4" x14ac:dyDescent="0.2">
      <c r="B45" t="s">
        <v>173</v>
      </c>
      <c r="C45" s="99">
        <f>+(C31+C34+C37)/(C12*C11)</f>
        <v>2.6875</v>
      </c>
      <c r="D45" s="12"/>
    </row>
    <row r="46" spans="1:4" x14ac:dyDescent="0.2">
      <c r="C46" s="113"/>
      <c r="D46" s="12"/>
    </row>
    <row r="47" spans="1:4" x14ac:dyDescent="0.2">
      <c r="B47" t="s">
        <v>174</v>
      </c>
      <c r="C47" s="99">
        <f>+C39/Description!C44</f>
        <v>1.7857142857142858</v>
      </c>
      <c r="D47" s="12"/>
    </row>
    <row r="48" spans="1:4" x14ac:dyDescent="0.2">
      <c r="C48" s="113"/>
      <c r="D48" s="12"/>
    </row>
    <row r="49" spans="1:4" x14ac:dyDescent="0.2">
      <c r="B49" t="s">
        <v>175</v>
      </c>
      <c r="C49" s="99">
        <f>+(C32+C35+C38)/(C12*C11)</f>
        <v>1.0457142857142858</v>
      </c>
      <c r="D49" s="12"/>
    </row>
    <row r="50" spans="1:4" x14ac:dyDescent="0.2">
      <c r="B50" t="s">
        <v>176</v>
      </c>
      <c r="C50" s="99">
        <f>+C21*9.76/(C12*C11)</f>
        <v>1.0457142857142858</v>
      </c>
      <c r="D50" s="12"/>
    </row>
    <row r="51" spans="1:4" x14ac:dyDescent="0.2">
      <c r="C51" s="99"/>
    </row>
    <row r="52" spans="1:4" x14ac:dyDescent="0.2">
      <c r="B52" s="141" t="s">
        <v>177</v>
      </c>
      <c r="C52" s="151">
        <f>+SUM(C45:C47)</f>
        <v>4.4732142857142856</v>
      </c>
    </row>
    <row r="53" spans="1:4" x14ac:dyDescent="0.2">
      <c r="B53" s="141" t="s">
        <v>178</v>
      </c>
      <c r="C53" s="151">
        <f>+C52+C49+C50</f>
        <v>6.5646428571428572</v>
      </c>
    </row>
    <row r="54" spans="1:4" s="66" customFormat="1" x14ac:dyDescent="0.2">
      <c r="B54" s="39"/>
      <c r="C54" s="100"/>
    </row>
    <row r="55" spans="1:4" s="66" customFormat="1" x14ac:dyDescent="0.2">
      <c r="B55" s="39"/>
      <c r="C55" s="100"/>
    </row>
    <row r="56" spans="1:4" x14ac:dyDescent="0.2">
      <c r="A56" s="4" t="s">
        <v>104</v>
      </c>
    </row>
    <row r="57" spans="1:4" s="66" customFormat="1" ht="9.9499999999999993" customHeight="1" thickBot="1" x14ac:dyDescent="0.25">
      <c r="A57" s="33"/>
    </row>
    <row r="58" spans="1:4" x14ac:dyDescent="0.2">
      <c r="A58" s="228"/>
      <c r="B58" s="229"/>
      <c r="C58" s="230"/>
    </row>
    <row r="59" spans="1:4" x14ac:dyDescent="0.2">
      <c r="A59" s="231"/>
      <c r="B59" s="232"/>
      <c r="C59" s="233"/>
    </row>
    <row r="60" spans="1:4" x14ac:dyDescent="0.2">
      <c r="A60" s="231"/>
      <c r="B60" s="232"/>
      <c r="C60" s="233"/>
    </row>
    <row r="61" spans="1:4" x14ac:dyDescent="0.2">
      <c r="A61" s="231"/>
      <c r="B61" s="232"/>
      <c r="C61" s="233"/>
    </row>
    <row r="62" spans="1:4" x14ac:dyDescent="0.2">
      <c r="A62" s="231"/>
      <c r="B62" s="232"/>
      <c r="C62" s="233"/>
    </row>
    <row r="63" spans="1:4" x14ac:dyDescent="0.2">
      <c r="A63" s="231"/>
      <c r="B63" s="232"/>
      <c r="C63" s="233"/>
    </row>
    <row r="64" spans="1:4" x14ac:dyDescent="0.2">
      <c r="A64" s="231"/>
      <c r="B64" s="232"/>
      <c r="C64" s="233"/>
    </row>
    <row r="65" spans="1:3" x14ac:dyDescent="0.2">
      <c r="A65" s="231"/>
      <c r="B65" s="232"/>
      <c r="C65" s="233"/>
    </row>
    <row r="66" spans="1:3" x14ac:dyDescent="0.2">
      <c r="A66" s="231"/>
      <c r="B66" s="232"/>
      <c r="C66" s="233"/>
    </row>
    <row r="67" spans="1:3" ht="13.5" thickBot="1" x14ac:dyDescent="0.25">
      <c r="A67" s="234"/>
      <c r="B67" s="235"/>
      <c r="C67" s="236"/>
    </row>
    <row r="69" spans="1:3" s="66" customFormat="1" x14ac:dyDescent="0.2"/>
    <row r="70" spans="1:3" s="66" customFormat="1" x14ac:dyDescent="0.2"/>
    <row r="72" spans="1:3" s="66" customFormat="1" x14ac:dyDescent="0.2"/>
    <row r="73" spans="1:3" x14ac:dyDescent="0.2">
      <c r="A73" s="56" t="s">
        <v>179</v>
      </c>
      <c r="B73" s="12"/>
      <c r="C73" s="12"/>
    </row>
    <row r="74" spans="1:3" ht="275.85000000000002" customHeight="1" x14ac:dyDescent="0.2">
      <c r="A74" s="237" t="s">
        <v>180</v>
      </c>
      <c r="B74" s="237"/>
      <c r="C74" s="237"/>
    </row>
  </sheetData>
  <mergeCells count="9">
    <mergeCell ref="A34:A35"/>
    <mergeCell ref="A37:A39"/>
    <mergeCell ref="A58:C67"/>
    <mergeCell ref="A74:C74"/>
    <mergeCell ref="A2:C2"/>
    <mergeCell ref="A15:A16"/>
    <mergeCell ref="A17:A18"/>
    <mergeCell ref="A19:A21"/>
    <mergeCell ref="A31:A32"/>
  </mergeCells>
  <printOptions horizontalCentered="1"/>
  <pageMargins left="0.78740157480314965" right="0.78740157480314965" top="1.0629921259842521" bottom="1.0236220472440944" header="0.78740157480314965" footer="0.78740157480314965"/>
  <pageSetup paperSize="9" scale="72" orientation="portrait" r:id="rId1"/>
  <headerFooter>
    <oddHeader>&amp;COutil développé dans le cadre du Programme pour l’émergence d’une filière régionale « Chevreaux de boucherie », 
 avec le soutien de la Région Auvergne-Rhône-Alpes</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showGridLines="0" zoomScaleNormal="100" zoomScalePageLayoutView="60" workbookViewId="0">
      <selection activeCell="A5" sqref="A5:D5"/>
    </sheetView>
  </sheetViews>
  <sheetFormatPr baseColWidth="10" defaultColWidth="18.28515625" defaultRowHeight="12.75" x14ac:dyDescent="0.2"/>
  <cols>
    <col min="2" max="2" width="31.5703125" customWidth="1"/>
    <col min="3" max="4" width="18.28515625" style="63"/>
  </cols>
  <sheetData>
    <row r="1" spans="1:11" ht="50.1" customHeight="1" x14ac:dyDescent="0.2">
      <c r="C1" s="61"/>
      <c r="D1" s="61"/>
    </row>
    <row r="2" spans="1:11" s="66" customFormat="1" ht="42" customHeight="1" x14ac:dyDescent="0.2">
      <c r="A2" s="245" t="s">
        <v>217</v>
      </c>
      <c r="B2" s="245"/>
      <c r="C2" s="245"/>
      <c r="D2" s="245"/>
    </row>
    <row r="3" spans="1:11" ht="51.95" customHeight="1" x14ac:dyDescent="0.2">
      <c r="A3" s="246" t="s">
        <v>221</v>
      </c>
      <c r="B3" s="246"/>
      <c r="C3" s="246"/>
      <c r="D3" s="246"/>
    </row>
    <row r="4" spans="1:11" s="66" customFormat="1" ht="20.100000000000001" customHeight="1" x14ac:dyDescent="0.2">
      <c r="A4" s="114"/>
      <c r="B4" s="114"/>
      <c r="C4" s="114"/>
      <c r="D4" s="114"/>
    </row>
    <row r="5" spans="1:11" s="66" customFormat="1" ht="47.25" customHeight="1" x14ac:dyDescent="0.2">
      <c r="A5" s="249" t="s">
        <v>255</v>
      </c>
      <c r="B5" s="249"/>
      <c r="C5" s="249"/>
      <c r="D5" s="249"/>
    </row>
    <row r="6" spans="1:11" ht="26.25" x14ac:dyDescent="0.2">
      <c r="A6" s="13"/>
      <c r="C6" s="61"/>
      <c r="D6" s="61"/>
    </row>
    <row r="7" spans="1:11" x14ac:dyDescent="0.2">
      <c r="C7" s="61" t="s">
        <v>24</v>
      </c>
      <c r="D7" s="61" t="s">
        <v>19</v>
      </c>
    </row>
    <row r="8" spans="1:11" x14ac:dyDescent="0.2">
      <c r="B8" s="4" t="s">
        <v>181</v>
      </c>
      <c r="C8" s="61">
        <f>+Description!C44</f>
        <v>56</v>
      </c>
      <c r="D8" s="61">
        <f>+Description!C44</f>
        <v>56</v>
      </c>
    </row>
    <row r="9" spans="1:11" x14ac:dyDescent="0.2">
      <c r="C9" s="61" t="s">
        <v>182</v>
      </c>
      <c r="D9" s="61" t="s">
        <v>182</v>
      </c>
    </row>
    <row r="10" spans="1:11" x14ac:dyDescent="0.2">
      <c r="A10" s="247" t="s">
        <v>22</v>
      </c>
      <c r="B10" t="s">
        <v>183</v>
      </c>
      <c r="C10" s="83">
        <f>+'Coût élevage'!B32</f>
        <v>6.3000000000000007</v>
      </c>
      <c r="D10" s="83">
        <f>+'Coût élevage'!C32</f>
        <v>6.3000000000000007</v>
      </c>
    </row>
    <row r="11" spans="1:11" x14ac:dyDescent="0.2">
      <c r="A11" s="247"/>
      <c r="B11" t="s">
        <v>184</v>
      </c>
      <c r="C11" s="83">
        <f>+'Coût élevage'!B33+'Coût élevage'!B35+'Coût élevage'!B36</f>
        <v>17.151750000000003</v>
      </c>
      <c r="D11" s="83">
        <f>+'Coût élevage'!C33+'Coût élevage'!C35+'Coût élevage'!C36</f>
        <v>33.610500000000009</v>
      </c>
      <c r="F11" s="12"/>
      <c r="G11" s="12"/>
      <c r="H11" s="12"/>
      <c r="I11" s="12"/>
      <c r="J11" s="12"/>
      <c r="K11" s="12"/>
    </row>
    <row r="12" spans="1:11" x14ac:dyDescent="0.2">
      <c r="A12" s="247"/>
      <c r="B12" t="s">
        <v>185</v>
      </c>
      <c r="C12" s="83">
        <f>+SUM('Coût élevage'!B37:B40)</f>
        <v>2.375</v>
      </c>
      <c r="D12" s="83">
        <f>+SUM('Coût élevage'!C37:C40)</f>
        <v>2.6916666666666664</v>
      </c>
      <c r="F12" s="12"/>
      <c r="G12" s="12"/>
      <c r="H12" s="12"/>
      <c r="I12" s="12"/>
      <c r="J12" s="12"/>
      <c r="K12" s="12"/>
    </row>
    <row r="13" spans="1:11" x14ac:dyDescent="0.2">
      <c r="A13" s="57"/>
      <c r="C13" s="83"/>
      <c r="D13" s="83"/>
      <c r="F13" s="12"/>
      <c r="G13" s="12"/>
      <c r="H13" s="12"/>
      <c r="I13" s="12"/>
      <c r="J13" s="12"/>
      <c r="K13" s="12"/>
    </row>
    <row r="14" spans="1:11" ht="12.75" customHeight="1" x14ac:dyDescent="0.2">
      <c r="A14" s="248" t="s">
        <v>254</v>
      </c>
      <c r="B14" t="s">
        <v>146</v>
      </c>
      <c r="C14" s="83">
        <f>+'Coût abattage découpe'!B9</f>
        <v>12</v>
      </c>
      <c r="D14" s="83">
        <f>+'Coût abattage découpe'!B9</f>
        <v>12</v>
      </c>
      <c r="F14" s="12"/>
      <c r="G14" s="12"/>
      <c r="H14" s="12"/>
      <c r="I14" s="12"/>
      <c r="J14" s="12"/>
      <c r="K14" s="12"/>
    </row>
    <row r="15" spans="1:11" x14ac:dyDescent="0.2">
      <c r="A15" s="248"/>
      <c r="B15" t="s">
        <v>186</v>
      </c>
      <c r="C15" s="83">
        <f>+'Coût abattage découpe'!B12</f>
        <v>14</v>
      </c>
      <c r="D15" s="83">
        <f>+'Coût abattage découpe'!B12</f>
        <v>14</v>
      </c>
      <c r="F15" s="12"/>
      <c r="G15" s="12"/>
      <c r="H15" s="12"/>
      <c r="I15" s="12"/>
      <c r="J15" s="12"/>
      <c r="K15" s="12"/>
    </row>
    <row r="16" spans="1:11" x14ac:dyDescent="0.2">
      <c r="A16" s="57"/>
      <c r="C16" s="83"/>
      <c r="D16" s="83"/>
      <c r="F16" s="12"/>
      <c r="G16" s="12"/>
      <c r="H16" s="12"/>
      <c r="I16" s="12"/>
      <c r="J16" s="12"/>
      <c r="K16" s="12"/>
    </row>
    <row r="17" spans="1:13" ht="25.5" x14ac:dyDescent="0.2">
      <c r="A17" s="57" t="s">
        <v>187</v>
      </c>
      <c r="B17" s="8" t="s">
        <v>188</v>
      </c>
      <c r="C17" s="83">
        <f>+'Coût tsport et commerc'!C52</f>
        <v>4.4732142857142856</v>
      </c>
      <c r="D17" s="83">
        <f>+'Coût tsport et commerc'!C52</f>
        <v>4.4732142857142856</v>
      </c>
      <c r="F17" s="12" t="s">
        <v>189</v>
      </c>
      <c r="G17" s="12"/>
      <c r="H17" s="12"/>
      <c r="I17" s="12"/>
      <c r="J17" s="12"/>
      <c r="K17" s="12"/>
    </row>
    <row r="18" spans="1:13" x14ac:dyDescent="0.2">
      <c r="A18" s="57"/>
      <c r="C18" s="83"/>
      <c r="D18" s="83"/>
      <c r="F18" s="12"/>
      <c r="G18" s="12"/>
      <c r="H18" s="12"/>
      <c r="I18" s="12"/>
      <c r="J18" s="12"/>
      <c r="K18" s="12"/>
    </row>
    <row r="19" spans="1:13" ht="12.75" customHeight="1" x14ac:dyDescent="0.2">
      <c r="A19" s="248" t="s">
        <v>190</v>
      </c>
      <c r="B19" s="1" t="s">
        <v>191</v>
      </c>
      <c r="C19" s="83">
        <f>+'Investissements tsport froid'!B23</f>
        <v>5.1921344755608558</v>
      </c>
      <c r="D19" s="83">
        <f>+'Investissements tsport froid'!B23</f>
        <v>5.1921344755608558</v>
      </c>
      <c r="F19" s="12" t="s">
        <v>192</v>
      </c>
      <c r="G19" s="12"/>
      <c r="H19" s="12"/>
      <c r="I19" s="12"/>
      <c r="J19" s="12"/>
      <c r="K19" s="12"/>
    </row>
    <row r="20" spans="1:13" x14ac:dyDescent="0.2">
      <c r="A20" s="248"/>
      <c r="B20" t="s">
        <v>193</v>
      </c>
      <c r="C20" s="83">
        <f>+'Coût logement'!B46</f>
        <v>15</v>
      </c>
      <c r="D20" s="83">
        <f>+'Coût logement'!C46</f>
        <v>20</v>
      </c>
      <c r="F20" s="12"/>
      <c r="G20" s="12"/>
      <c r="H20" s="12"/>
      <c r="I20" s="12"/>
      <c r="J20" s="12"/>
      <c r="K20" s="12"/>
    </row>
    <row r="21" spans="1:13" x14ac:dyDescent="0.2">
      <c r="C21" s="83"/>
      <c r="D21" s="83"/>
      <c r="F21" s="12"/>
      <c r="G21" s="12"/>
      <c r="H21" s="12"/>
      <c r="I21" s="12"/>
      <c r="J21" s="12"/>
      <c r="K21" s="12"/>
    </row>
    <row r="22" spans="1:13" x14ac:dyDescent="0.2">
      <c r="C22" s="83"/>
      <c r="D22" s="83"/>
      <c r="F22" s="12"/>
      <c r="G22" s="12"/>
      <c r="H22" s="12"/>
      <c r="I22" s="12"/>
      <c r="J22" s="12"/>
      <c r="K22" s="12"/>
    </row>
    <row r="23" spans="1:13" x14ac:dyDescent="0.2">
      <c r="B23" s="4" t="s">
        <v>194</v>
      </c>
      <c r="C23" s="82">
        <f>+SUM(C10:C22)</f>
        <v>76.492098761275145</v>
      </c>
      <c r="D23" s="82">
        <f>+SUM(D10:D22)</f>
        <v>98.267515427941817</v>
      </c>
      <c r="F23" s="12"/>
      <c r="G23" s="12"/>
      <c r="H23" s="12"/>
      <c r="I23" s="12"/>
      <c r="J23" s="12"/>
      <c r="K23" s="12"/>
    </row>
    <row r="24" spans="1:13" x14ac:dyDescent="0.2">
      <c r="C24" s="83"/>
      <c r="D24" s="83"/>
      <c r="F24" s="12"/>
      <c r="G24" s="12"/>
      <c r="H24" s="12"/>
      <c r="I24" s="12"/>
      <c r="J24" s="12"/>
      <c r="K24" s="12"/>
      <c r="M24">
        <f>45-8</f>
        <v>37</v>
      </c>
    </row>
    <row r="25" spans="1:13" x14ac:dyDescent="0.2">
      <c r="B25" s="4" t="s">
        <v>251</v>
      </c>
      <c r="C25" s="84">
        <v>14</v>
      </c>
      <c r="D25" s="85">
        <v>14</v>
      </c>
      <c r="F25" s="12"/>
      <c r="G25" s="12"/>
      <c r="H25" s="12"/>
      <c r="I25" s="12"/>
      <c r="J25" s="12"/>
      <c r="K25" s="12"/>
    </row>
    <row r="26" spans="1:13" x14ac:dyDescent="0.2">
      <c r="B26" s="4" t="s">
        <v>250</v>
      </c>
      <c r="C26" s="86">
        <f>+C25*'Coût élevage'!B9</f>
        <v>77</v>
      </c>
      <c r="D26" s="86">
        <f>+D25*'Coût élevage'!C9</f>
        <v>116.20000000000002</v>
      </c>
      <c r="F26" s="12"/>
      <c r="G26" s="12"/>
      <c r="H26" s="12"/>
      <c r="I26" s="12"/>
      <c r="J26" s="12"/>
      <c r="K26" s="12"/>
    </row>
    <row r="27" spans="1:13" x14ac:dyDescent="0.2">
      <c r="C27" s="83"/>
      <c r="D27" s="83"/>
      <c r="F27" s="12"/>
      <c r="G27" s="12"/>
      <c r="H27" s="12"/>
      <c r="I27" s="12"/>
      <c r="J27" s="12"/>
      <c r="K27" s="12"/>
    </row>
    <row r="28" spans="1:13" x14ac:dyDescent="0.2">
      <c r="B28" s="141" t="s">
        <v>195</v>
      </c>
      <c r="C28" s="159">
        <f>+C26-C23</f>
        <v>0.50790123872485538</v>
      </c>
      <c r="D28" s="159">
        <f>+D26-D23</f>
        <v>17.9324845720582</v>
      </c>
      <c r="G28" s="12"/>
      <c r="H28" s="12"/>
      <c r="I28" s="12"/>
      <c r="J28" s="12"/>
      <c r="K28" s="12"/>
    </row>
    <row r="29" spans="1:13" x14ac:dyDescent="0.2">
      <c r="B29" s="59"/>
      <c r="C29" s="88"/>
      <c r="D29" s="88"/>
      <c r="F29" s="12"/>
      <c r="G29" s="12"/>
      <c r="H29" s="12"/>
      <c r="I29" s="12"/>
      <c r="J29" s="12"/>
      <c r="K29" s="12"/>
    </row>
    <row r="30" spans="1:13" x14ac:dyDescent="0.2">
      <c r="A30" s="135"/>
      <c r="B30" s="160" t="s">
        <v>196</v>
      </c>
      <c r="C30" s="161">
        <f>+C28/('Coût élevage'!B28+'Coût abattage découpe'!B17+('Coût tsport et commerc'!C15+'Coût tsport et commerc'!C17+'Coût tsport et commerc'!C19+'Coût tsport et commerc'!C21)/C8)</f>
        <v>0.29901670908948591</v>
      </c>
      <c r="D30" s="161">
        <f>+D28/('Coût élevage'!C28+'Coût abattage découpe'!B17+('Coût tsport et commerc'!C15+'Coût tsport et commerc'!C17+'Coût tsport et commerc'!C19+'Coût tsport et commerc'!C21)/D8)</f>
        <v>10.557392094567485</v>
      </c>
      <c r="F30" s="12"/>
      <c r="G30" s="12"/>
      <c r="H30" s="12"/>
      <c r="I30" s="12"/>
      <c r="J30" s="12"/>
      <c r="K30" s="12"/>
    </row>
    <row r="31" spans="1:13" s="66" customFormat="1" ht="20.100000000000001" customHeight="1" x14ac:dyDescent="0.2">
      <c r="B31" s="39"/>
      <c r="C31" s="58"/>
      <c r="D31" s="58"/>
      <c r="F31" s="24"/>
      <c r="G31" s="24"/>
      <c r="H31" s="24"/>
      <c r="I31" s="24"/>
      <c r="J31" s="24"/>
      <c r="K31" s="24"/>
    </row>
    <row r="32" spans="1:13" x14ac:dyDescent="0.2">
      <c r="B32" s="133" t="s">
        <v>197</v>
      </c>
      <c r="C32" s="58"/>
      <c r="D32" s="58"/>
      <c r="F32" s="12"/>
      <c r="G32" s="12"/>
      <c r="H32" s="12"/>
      <c r="I32" s="12"/>
      <c r="J32" s="12"/>
      <c r="K32" s="12"/>
    </row>
    <row r="33" spans="1:11" s="66" customFormat="1" x14ac:dyDescent="0.2">
      <c r="A33" s="60"/>
      <c r="B33" s="39"/>
      <c r="C33" s="58"/>
      <c r="D33" s="58"/>
      <c r="F33" s="24"/>
      <c r="G33" s="24"/>
      <c r="H33" s="24"/>
      <c r="I33" s="24"/>
      <c r="J33" s="24"/>
      <c r="K33" s="24"/>
    </row>
    <row r="34" spans="1:11" x14ac:dyDescent="0.2">
      <c r="F34" s="12"/>
      <c r="G34" s="12"/>
      <c r="H34" s="12"/>
      <c r="I34" s="12"/>
      <c r="J34" s="12"/>
      <c r="K34" s="12"/>
    </row>
    <row r="35" spans="1:11" x14ac:dyDescent="0.2">
      <c r="A35" s="141" t="s">
        <v>198</v>
      </c>
    </row>
    <row r="36" spans="1:11" s="66" customFormat="1" ht="9.9499999999999993" customHeight="1" thickBot="1" x14ac:dyDescent="0.25">
      <c r="A36" s="39"/>
      <c r="C36" s="63"/>
      <c r="D36" s="63"/>
    </row>
    <row r="37" spans="1:11" x14ac:dyDescent="0.2">
      <c r="A37" s="242"/>
      <c r="B37" s="243"/>
      <c r="C37" s="243"/>
      <c r="D37" s="244"/>
    </row>
    <row r="38" spans="1:11" x14ac:dyDescent="0.2">
      <c r="A38" s="204"/>
      <c r="B38" s="205"/>
      <c r="C38" s="205"/>
      <c r="D38" s="206"/>
    </row>
    <row r="39" spans="1:11" x14ac:dyDescent="0.2">
      <c r="A39" s="204"/>
      <c r="B39" s="205"/>
      <c r="C39" s="205"/>
      <c r="D39" s="206"/>
    </row>
    <row r="40" spans="1:11" x14ac:dyDescent="0.2">
      <c r="A40" s="204"/>
      <c r="B40" s="205"/>
      <c r="C40" s="205"/>
      <c r="D40" s="206"/>
    </row>
    <row r="41" spans="1:11" x14ac:dyDescent="0.2">
      <c r="A41" s="204"/>
      <c r="B41" s="205"/>
      <c r="C41" s="205"/>
      <c r="D41" s="206"/>
    </row>
    <row r="42" spans="1:11" x14ac:dyDescent="0.2">
      <c r="A42" s="204"/>
      <c r="B42" s="205"/>
      <c r="C42" s="205"/>
      <c r="D42" s="206"/>
    </row>
    <row r="43" spans="1:11" x14ac:dyDescent="0.2">
      <c r="A43" s="204"/>
      <c r="B43" s="205"/>
      <c r="C43" s="205"/>
      <c r="D43" s="206"/>
    </row>
    <row r="44" spans="1:11" x14ac:dyDescent="0.2">
      <c r="A44" s="204"/>
      <c r="B44" s="205"/>
      <c r="C44" s="205"/>
      <c r="D44" s="206"/>
    </row>
    <row r="45" spans="1:11" x14ac:dyDescent="0.2">
      <c r="A45" s="204"/>
      <c r="B45" s="205"/>
      <c r="C45" s="205"/>
      <c r="D45" s="206"/>
    </row>
    <row r="46" spans="1:11" x14ac:dyDescent="0.2">
      <c r="A46" s="204"/>
      <c r="B46" s="205"/>
      <c r="C46" s="205"/>
      <c r="D46" s="206"/>
    </row>
    <row r="47" spans="1:11" x14ac:dyDescent="0.2">
      <c r="A47" s="204"/>
      <c r="B47" s="205"/>
      <c r="C47" s="205"/>
      <c r="D47" s="206"/>
    </row>
    <row r="48" spans="1:11" x14ac:dyDescent="0.2">
      <c r="A48" s="204"/>
      <c r="B48" s="205"/>
      <c r="C48" s="205"/>
      <c r="D48" s="206"/>
    </row>
    <row r="49" spans="1:4" x14ac:dyDescent="0.2">
      <c r="A49" s="204"/>
      <c r="B49" s="205"/>
      <c r="C49" s="205"/>
      <c r="D49" s="206"/>
    </row>
    <row r="50" spans="1:4" x14ac:dyDescent="0.2">
      <c r="A50" s="204"/>
      <c r="B50" s="205"/>
      <c r="C50" s="205"/>
      <c r="D50" s="206"/>
    </row>
    <row r="51" spans="1:4" ht="13.5" thickBot="1" x14ac:dyDescent="0.25">
      <c r="A51" s="207"/>
      <c r="B51" s="208"/>
      <c r="C51" s="208"/>
      <c r="D51" s="209"/>
    </row>
  </sheetData>
  <mergeCells count="7">
    <mergeCell ref="A37:D51"/>
    <mergeCell ref="A2:D2"/>
    <mergeCell ref="A3:D3"/>
    <mergeCell ref="A10:A12"/>
    <mergeCell ref="A14:A15"/>
    <mergeCell ref="A19:A20"/>
    <mergeCell ref="A5:D5"/>
  </mergeCells>
  <printOptions horizontalCentered="1"/>
  <pageMargins left="0.78740157480314965" right="0.78740157480314965" top="1.0629921259842521" bottom="1.0236220472440944" header="0.78740157480314965" footer="0.78740157480314965"/>
  <pageSetup paperSize="9" scale="80" orientation="portrait" r:id="rId1"/>
  <headerFooter>
    <oddHeader>&amp;C&amp;9Outil développé dans le cadre du Programme pour l’émergence d’une filière régionale « Chevreaux de boucherie », 
 avec le soutien de la Région Auvergne-Rhône-Alpes</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2"/>
  <sheetViews>
    <sheetView showGridLines="0" zoomScaleNormal="100" zoomScalePageLayoutView="60" workbookViewId="0">
      <selection activeCell="G16" sqref="G16"/>
    </sheetView>
  </sheetViews>
  <sheetFormatPr baseColWidth="10" defaultColWidth="8.7109375" defaultRowHeight="12.75" x14ac:dyDescent="0.2"/>
  <cols>
    <col min="1" max="1" width="34.85546875"/>
    <col min="2" max="2" width="17"/>
    <col min="3" max="3" width="14.5703125"/>
    <col min="4" max="1025" width="11.5703125"/>
  </cols>
  <sheetData>
    <row r="1" spans="1:4" ht="50.1" customHeight="1" x14ac:dyDescent="0.2"/>
    <row r="2" spans="1:4" s="66" customFormat="1" ht="42" customHeight="1" x14ac:dyDescent="0.2">
      <c r="A2" s="250" t="s">
        <v>217</v>
      </c>
      <c r="B2" s="250"/>
      <c r="C2" s="250"/>
    </row>
    <row r="3" spans="1:4" s="2" customFormat="1" ht="48.75" customHeight="1" x14ac:dyDescent="0.3">
      <c r="A3" s="246" t="s">
        <v>253</v>
      </c>
      <c r="B3" s="246"/>
      <c r="C3" s="246"/>
    </row>
    <row r="4" spans="1:4" ht="51" customHeight="1" x14ac:dyDescent="0.2">
      <c r="A4" s="249" t="s">
        <v>258</v>
      </c>
      <c r="B4" s="249"/>
      <c r="C4" s="249"/>
    </row>
    <row r="5" spans="1:4" s="66" customFormat="1" ht="20.100000000000001" customHeight="1" x14ac:dyDescent="0.2">
      <c r="A5" s="162"/>
      <c r="B5" s="162"/>
      <c r="C5" s="162"/>
    </row>
    <row r="7" spans="1:4" x14ac:dyDescent="0.2">
      <c r="B7" s="4" t="s">
        <v>24</v>
      </c>
      <c r="C7" s="4" t="s">
        <v>19</v>
      </c>
    </row>
    <row r="8" spans="1:4" x14ac:dyDescent="0.2">
      <c r="A8" s="4" t="s">
        <v>199</v>
      </c>
      <c r="B8" s="61" t="s">
        <v>108</v>
      </c>
      <c r="C8" s="61" t="s">
        <v>108</v>
      </c>
    </row>
    <row r="9" spans="1:4" x14ac:dyDescent="0.2">
      <c r="A9" t="s">
        <v>200</v>
      </c>
      <c r="B9" s="83">
        <f>+'Coût élevage'!B44</f>
        <v>36.953150000000008</v>
      </c>
      <c r="C9" s="83">
        <f>+'Coût élevage'!C44</f>
        <v>53.98456666666668</v>
      </c>
    </row>
    <row r="10" spans="1:4" x14ac:dyDescent="0.2">
      <c r="A10" t="s">
        <v>201</v>
      </c>
      <c r="B10" s="83">
        <f>+Marge!C14+Marge!C15</f>
        <v>26</v>
      </c>
      <c r="C10" s="83">
        <f>+Marge!D14+Marge!D15</f>
        <v>26</v>
      </c>
    </row>
    <row r="11" spans="1:4" x14ac:dyDescent="0.2">
      <c r="A11" t="s">
        <v>202</v>
      </c>
      <c r="B11" s="83">
        <f>+'Coût tsport et commerc'!C53</f>
        <v>6.5646428571428572</v>
      </c>
      <c r="C11" s="83">
        <f>+'Coût tsport et commerc'!C53</f>
        <v>6.5646428571428572</v>
      </c>
    </row>
    <row r="12" spans="1:4" x14ac:dyDescent="0.2">
      <c r="A12" t="s">
        <v>203</v>
      </c>
      <c r="B12" s="83">
        <f>+'Coût logement'!B46</f>
        <v>15</v>
      </c>
      <c r="C12" s="83">
        <f>+'Coût logement'!C46</f>
        <v>20</v>
      </c>
    </row>
    <row r="13" spans="1:4" x14ac:dyDescent="0.2">
      <c r="A13" t="s">
        <v>204</v>
      </c>
      <c r="B13" s="83">
        <f>+'Investissements tsport froid'!B23</f>
        <v>5.1921344755608558</v>
      </c>
      <c r="C13" s="83">
        <f>+'Investissements tsport froid'!B23</f>
        <v>5.1921344755608558</v>
      </c>
    </row>
    <row r="14" spans="1:4" x14ac:dyDescent="0.2">
      <c r="A14" s="4" t="s">
        <v>199</v>
      </c>
      <c r="B14" s="82">
        <f>+SUM(B9:B13)</f>
        <v>89.709927332703728</v>
      </c>
      <c r="C14" s="82">
        <f>+SUM(C9:C13)</f>
        <v>111.7413439993704</v>
      </c>
      <c r="D14" s="26"/>
    </row>
    <row r="15" spans="1:4" x14ac:dyDescent="0.2">
      <c r="A15" t="s">
        <v>260</v>
      </c>
      <c r="B15" s="63">
        <f>+'Coût élevage'!B9</f>
        <v>5.5</v>
      </c>
      <c r="C15" s="63">
        <f>+'Coût élevage'!C9</f>
        <v>8.3000000000000007</v>
      </c>
    </row>
    <row r="16" spans="1:4" ht="30" x14ac:dyDescent="0.25">
      <c r="A16" s="164" t="s">
        <v>205</v>
      </c>
      <c r="B16" s="165">
        <f>+B14/B15</f>
        <v>16.310895878673406</v>
      </c>
      <c r="C16" s="165">
        <f>+C14/C15</f>
        <v>13.462812530044625</v>
      </c>
    </row>
    <row r="17" spans="1:3" s="66" customFormat="1" x14ac:dyDescent="0.2">
      <c r="A17" s="29"/>
      <c r="B17" s="62"/>
      <c r="C17" s="62"/>
    </row>
    <row r="18" spans="1:3" ht="23.45" customHeight="1" x14ac:dyDescent="0.2">
      <c r="A18" s="249" t="s">
        <v>206</v>
      </c>
      <c r="B18" s="249"/>
      <c r="C18" s="249"/>
    </row>
    <row r="19" spans="1:3" s="66" customFormat="1" ht="23.45" customHeight="1" x14ac:dyDescent="0.2">
      <c r="A19" s="69"/>
      <c r="B19" s="69"/>
      <c r="C19" s="69"/>
    </row>
    <row r="20" spans="1:3" x14ac:dyDescent="0.2">
      <c r="A20" s="64"/>
      <c r="C20" s="28"/>
    </row>
    <row r="21" spans="1:3" ht="13.5" thickBot="1" x14ac:dyDescent="0.25">
      <c r="A21" s="4" t="s">
        <v>198</v>
      </c>
    </row>
    <row r="22" spans="1:3" x14ac:dyDescent="0.2">
      <c r="A22" s="242"/>
      <c r="B22" s="243"/>
      <c r="C22" s="244"/>
    </row>
    <row r="23" spans="1:3" x14ac:dyDescent="0.2">
      <c r="A23" s="204"/>
      <c r="B23" s="205"/>
      <c r="C23" s="206"/>
    </row>
    <row r="24" spans="1:3" x14ac:dyDescent="0.2">
      <c r="A24" s="204"/>
      <c r="B24" s="205"/>
      <c r="C24" s="206"/>
    </row>
    <row r="25" spans="1:3" x14ac:dyDescent="0.2">
      <c r="A25" s="204"/>
      <c r="B25" s="205"/>
      <c r="C25" s="206"/>
    </row>
    <row r="26" spans="1:3" x14ac:dyDescent="0.2">
      <c r="A26" s="204"/>
      <c r="B26" s="205"/>
      <c r="C26" s="206"/>
    </row>
    <row r="27" spans="1:3" x14ac:dyDescent="0.2">
      <c r="A27" s="204"/>
      <c r="B27" s="205"/>
      <c r="C27" s="206"/>
    </row>
    <row r="28" spans="1:3" x14ac:dyDescent="0.2">
      <c r="A28" s="204"/>
      <c r="B28" s="205"/>
      <c r="C28" s="206"/>
    </row>
    <row r="29" spans="1:3" x14ac:dyDescent="0.2">
      <c r="A29" s="204"/>
      <c r="B29" s="205"/>
      <c r="C29" s="206"/>
    </row>
    <row r="30" spans="1:3" x14ac:dyDescent="0.2">
      <c r="A30" s="204"/>
      <c r="B30" s="205"/>
      <c r="C30" s="206"/>
    </row>
    <row r="31" spans="1:3" x14ac:dyDescent="0.2">
      <c r="A31" s="204"/>
      <c r="B31" s="205"/>
      <c r="C31" s="206"/>
    </row>
    <row r="32" spans="1:3" ht="13.5" thickBot="1" x14ac:dyDescent="0.25">
      <c r="A32" s="207"/>
      <c r="B32" s="208"/>
      <c r="C32" s="209"/>
    </row>
  </sheetData>
  <mergeCells count="5">
    <mergeCell ref="A3:C3"/>
    <mergeCell ref="A18:C18"/>
    <mergeCell ref="A22:C32"/>
    <mergeCell ref="A2:C2"/>
    <mergeCell ref="A4:C4"/>
  </mergeCells>
  <printOptions horizontalCentered="1"/>
  <pageMargins left="0.78740157480314965" right="0.78740157480314965" top="1.0629921259842521" bottom="1.0236220472440944" header="0.78740157480314965" footer="0.78740157480314965"/>
  <pageSetup paperSize="9" orientation="portrait" r:id="rId1"/>
  <headerFooter>
    <oddHeader>&amp;C&amp;8Outil développé dans le cadre du Programme pour l’émergence d’une filière régionale « Chevreaux de boucherie », 
 avec le soutien de la Région Auvergne-Rhône-Al&amp;10pes</oddHeader>
  </headerFooter>
  <drawing r:id="rId2"/>
</worksheet>
</file>

<file path=docProps/app.xml><?xml version="1.0" encoding="utf-8"?>
<Properties xmlns="http://schemas.openxmlformats.org/officeDocument/2006/extended-properties" xmlns:vt="http://schemas.openxmlformats.org/officeDocument/2006/docPropsVTypes">
  <Template/>
  <TotalTime>571</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Mode emploi</vt:lpstr>
      <vt:lpstr>Description</vt:lpstr>
      <vt:lpstr>Coût élevage</vt:lpstr>
      <vt:lpstr>Coût logement</vt:lpstr>
      <vt:lpstr>Coût abattage découpe</vt:lpstr>
      <vt:lpstr>Investissements tsport froid</vt:lpstr>
      <vt:lpstr>Coût tsport et commerc</vt:lpstr>
      <vt:lpstr>Marge</vt:lpstr>
      <vt:lpstr>Prix revient</vt:lpstr>
      <vt:lpstr>'Coût abattage découpe'!Zone_d_impression</vt:lpstr>
      <vt:lpstr>'Coût élevage'!Zone_d_impression</vt:lpstr>
      <vt:lpstr>'Coût logement'!Zone_d_impression</vt:lpstr>
      <vt:lpstr>'Coût tsport et commerc'!Zone_d_impression</vt:lpstr>
      <vt:lpstr>Description!Zone_d_impression</vt:lpstr>
      <vt:lpstr>'Investissements tsport froid'!Zone_d_impression</vt:lpstr>
      <vt:lpstr>Marge!Zone_d_impression</vt:lpstr>
      <vt:lpstr>'Mode emploi'!Zone_d_impression</vt:lpstr>
      <vt:lpstr>'Prix revient'!Zone_d_impression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Nathalie MORARDET</dc:creator>
  <dc:description/>
  <cp:lastModifiedBy>Nathalie MORARDET</cp:lastModifiedBy>
  <cp:revision>156</cp:revision>
  <cp:lastPrinted>2019-06-04T18:01:11Z</cp:lastPrinted>
  <dcterms:created xsi:type="dcterms:W3CDTF">2016-07-07T10:19:03Z</dcterms:created>
  <dcterms:modified xsi:type="dcterms:W3CDTF">2019-06-04T18:01:45Z</dcterms:modified>
  <dc:language>en-US</dc:language>
</cp:coreProperties>
</file>